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11\Desktop\①政治関係\01_一般質問_室岡啓史\23_2021年12月一般質問\03一般質問資料\"/>
    </mc:Choice>
  </mc:AlternateContent>
  <xr:revisionPtr revIDLastSave="0" documentId="13_ncr:1_{3EBFEE64-D714-46A5-A229-DB9E582BDF1F}" xr6:coauthVersionLast="47" xr6:coauthVersionMax="47" xr10:uidLastSave="{00000000-0000-0000-0000-000000000000}"/>
  <bookViews>
    <workbookView xWindow="-108" yWindow="-108" windowWidth="27288" windowHeight="17664" xr2:uid="{541E82FE-9808-41BF-B757-F664C60863BF}"/>
  </bookViews>
  <sheets>
    <sheet name="予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G13" i="1"/>
  <c r="AO35" i="1"/>
  <c r="AN35" i="1"/>
  <c r="AM35" i="1"/>
  <c r="AN37" i="1"/>
  <c r="AM37" i="1"/>
  <c r="AO38" i="1"/>
  <c r="AM38" i="1"/>
  <c r="O17" i="1"/>
  <c r="J17" i="1"/>
  <c r="C17" i="1"/>
  <c r="K13" i="1"/>
  <c r="J13" i="1"/>
  <c r="I13" i="1"/>
  <c r="J11" i="1"/>
  <c r="I11" i="1" s="1"/>
  <c r="H15" i="1"/>
  <c r="I15" i="1"/>
  <c r="J15" i="1"/>
  <c r="K15" i="1"/>
  <c r="L15" i="1"/>
  <c r="M15" i="1"/>
  <c r="N15" i="1"/>
  <c r="O15" i="1"/>
  <c r="G15" i="1"/>
  <c r="Y13" i="1"/>
  <c r="F10" i="1"/>
  <c r="G10" i="1"/>
  <c r="I10" i="1"/>
  <c r="H10" i="1"/>
  <c r="I9" i="1"/>
  <c r="H9" i="1"/>
  <c r="G9" i="1"/>
  <c r="F9" i="1"/>
  <c r="F4" i="1" s="1"/>
  <c r="AI13" i="1"/>
  <c r="J4" i="1"/>
  <c r="D5" i="1"/>
  <c r="D4" i="1"/>
  <c r="AI5" i="1"/>
  <c r="AI4" i="1"/>
  <c r="AD5" i="1"/>
  <c r="AD4" i="1"/>
  <c r="Y5" i="1"/>
  <c r="Y4" i="1"/>
  <c r="T5" i="1"/>
  <c r="T4" i="1"/>
  <c r="O4" i="1"/>
  <c r="E5" i="1"/>
  <c r="E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E17" i="1"/>
  <c r="H5" i="1" l="1"/>
  <c r="O11" i="1"/>
  <c r="T11" i="1" s="1"/>
  <c r="Y11" i="1" s="1"/>
  <c r="AD11" i="1" s="1"/>
  <c r="AI11" i="1" s="1"/>
  <c r="I4" i="1"/>
  <c r="H4" i="1"/>
  <c r="G5" i="1"/>
  <c r="I5" i="1"/>
  <c r="G4" i="1"/>
  <c r="H11" i="1"/>
  <c r="G11" i="1"/>
  <c r="AI17" i="1"/>
  <c r="P13" i="1"/>
  <c r="Q13" i="1"/>
  <c r="R13" i="1"/>
  <c r="S13" i="1"/>
  <c r="T13" i="1"/>
  <c r="U13" i="1"/>
  <c r="V13" i="1"/>
  <c r="W13" i="1"/>
  <c r="X13" i="1"/>
  <c r="Z13" i="1"/>
  <c r="AA13" i="1"/>
  <c r="AB13" i="1"/>
  <c r="AC13" i="1"/>
  <c r="AD13" i="1"/>
  <c r="AE13" i="1"/>
  <c r="AF13" i="1"/>
  <c r="AG13" i="1"/>
  <c r="AH13" i="1"/>
  <c r="X17" i="1"/>
  <c r="W17" i="1"/>
  <c r="V17" i="1"/>
  <c r="U17" i="1"/>
  <c r="T17" i="1"/>
  <c r="AE17" i="1"/>
  <c r="AD17" i="1"/>
  <c r="AC17" i="1"/>
  <c r="AB17" i="1"/>
  <c r="AA17" i="1"/>
  <c r="Y17" i="1"/>
  <c r="S17" i="1"/>
  <c r="R17" i="1"/>
  <c r="Q17" i="1"/>
  <c r="P17" i="1"/>
  <c r="AG17" i="1"/>
  <c r="AF17" i="1"/>
  <c r="Z17" i="1"/>
  <c r="AH17" i="1"/>
  <c r="N17" i="1"/>
  <c r="AP17" i="1"/>
  <c r="AP40" i="1" s="1"/>
  <c r="AO39" i="1"/>
  <c r="AN39" i="1"/>
  <c r="AM39" i="1"/>
  <c r="AO31" i="1"/>
  <c r="AN31" i="1"/>
  <c r="AM31" i="1"/>
  <c r="AO17" i="1"/>
  <c r="AO13" i="1" s="1"/>
  <c r="AO36" i="1" s="1"/>
  <c r="AN17" i="1"/>
  <c r="AN13" i="1" s="1"/>
  <c r="AN36" i="1" s="1"/>
  <c r="AM17" i="1"/>
  <c r="AM13" i="1" s="1"/>
  <c r="AM36" i="1" s="1"/>
  <c r="AP16" i="1"/>
  <c r="AQ16" i="1" s="1"/>
  <c r="AQ39" i="1" s="1"/>
  <c r="AN15" i="1"/>
  <c r="AN38" i="1" s="1"/>
  <c r="AO14" i="1"/>
  <c r="AO37" i="1" s="1"/>
  <c r="AP39" i="1" l="1"/>
  <c r="AR17" i="1"/>
  <c r="AR40" i="1" s="1"/>
  <c r="AM40" i="1"/>
  <c r="AN40" i="1"/>
  <c r="AP13" i="1"/>
  <c r="AP36" i="1" s="1"/>
  <c r="AO40" i="1"/>
  <c r="AR16" i="1"/>
  <c r="AP12" i="1"/>
  <c r="AP35" i="1" s="1"/>
  <c r="AP15" i="1"/>
  <c r="AP38" i="1" s="1"/>
  <c r="AQ17" i="1"/>
  <c r="D17" i="1"/>
  <c r="F17" i="1"/>
  <c r="G17" i="1"/>
  <c r="H17" i="1"/>
  <c r="I17" i="1"/>
  <c r="K17" i="1"/>
  <c r="L17" i="1"/>
  <c r="M17" i="1"/>
  <c r="AQ15" i="1" l="1"/>
  <c r="AR13" i="1"/>
  <c r="AR36" i="1" s="1"/>
  <c r="AR39" i="1"/>
  <c r="AS17" i="1"/>
  <c r="AS40" i="1" s="1"/>
  <c r="AQ13" i="1"/>
  <c r="AQ36" i="1" s="1"/>
  <c r="AQ40" i="1"/>
  <c r="AQ12" i="1"/>
  <c r="AQ35" i="1" s="1"/>
  <c r="AP31" i="1"/>
  <c r="AS16" i="1"/>
  <c r="AP14" i="1"/>
  <c r="AP37" i="1" s="1"/>
  <c r="AR15" i="1" l="1"/>
  <c r="AR38" i="1" s="1"/>
  <c r="AQ38" i="1"/>
  <c r="AS39" i="1"/>
  <c r="AT17" i="1"/>
  <c r="AT40" i="1" s="1"/>
  <c r="AR12" i="1"/>
  <c r="AQ31" i="1"/>
  <c r="AQ14" i="1"/>
  <c r="AQ37" i="1" s="1"/>
  <c r="AS13" i="1"/>
  <c r="AS36" i="1" s="1"/>
  <c r="AT16" i="1"/>
  <c r="AR31" i="1" l="1"/>
  <c r="AR35" i="1"/>
  <c r="AS15" i="1"/>
  <c r="AS38" i="1" s="1"/>
  <c r="AR14" i="1"/>
  <c r="AR37" i="1" s="1"/>
  <c r="AT13" i="1"/>
  <c r="AT36" i="1" s="1"/>
  <c r="AU17" i="1"/>
  <c r="AU40" i="1" s="1"/>
  <c r="AT39" i="1"/>
  <c r="AS12" i="1"/>
  <c r="AU16" i="1"/>
  <c r="AS35" i="1" l="1"/>
  <c r="AT12" i="1"/>
  <c r="AT15" i="1"/>
  <c r="AT38" i="1" s="1"/>
  <c r="AU13" i="1"/>
  <c r="AU36" i="1" s="1"/>
  <c r="AT35" i="1"/>
  <c r="AS31" i="1"/>
  <c r="AU39" i="1"/>
  <c r="AV17" i="1"/>
  <c r="AV40" i="1" s="1"/>
  <c r="AS14" i="1"/>
  <c r="AS37" i="1" s="1"/>
  <c r="AV16" i="1"/>
  <c r="AU15" i="1" l="1"/>
  <c r="AU38" i="1" s="1"/>
  <c r="AV13" i="1"/>
  <c r="AV36" i="1" s="1"/>
  <c r="AT14" i="1"/>
  <c r="AT37" i="1" s="1"/>
  <c r="AV39" i="1"/>
  <c r="AW17" i="1"/>
  <c r="AW40" i="1" s="1"/>
  <c r="AT31" i="1"/>
  <c r="AU12" i="1"/>
  <c r="AW16" i="1"/>
  <c r="AV15" i="1" l="1"/>
  <c r="AV38" i="1" s="1"/>
  <c r="AU31" i="1"/>
  <c r="AU35" i="1"/>
  <c r="AW13" i="1"/>
  <c r="AW36" i="1" s="1"/>
  <c r="AW39" i="1"/>
  <c r="AX17" i="1"/>
  <c r="AX40" i="1" s="1"/>
  <c r="AU14" i="1"/>
  <c r="AU37" i="1" s="1"/>
  <c r="AV12" i="1"/>
  <c r="AX16" i="1"/>
  <c r="AV31" i="1" l="1"/>
  <c r="AV35" i="1"/>
  <c r="AW15" i="1"/>
  <c r="AW38" i="1" s="1"/>
  <c r="AX13" i="1"/>
  <c r="AX36" i="1" s="1"/>
  <c r="AV14" i="1"/>
  <c r="AV37" i="1" s="1"/>
  <c r="AW12" i="1"/>
  <c r="AY16" i="1"/>
  <c r="AX39" i="1"/>
  <c r="AX15" i="1" l="1"/>
  <c r="AY15" i="1" s="1"/>
  <c r="AY38" i="1" s="1"/>
  <c r="AW31" i="1"/>
  <c r="AW35" i="1"/>
  <c r="AW14" i="1"/>
  <c r="AW37" i="1" s="1"/>
  <c r="AX12" i="1"/>
  <c r="AY17" i="1"/>
  <c r="AY39" i="1"/>
  <c r="AX38" i="1" l="1"/>
  <c r="AY12" i="1"/>
  <c r="AX35" i="1"/>
  <c r="AY40" i="1"/>
  <c r="AX14" i="1"/>
  <c r="AX31" i="1"/>
  <c r="AY13" i="1"/>
  <c r="AY36" i="1" s="1"/>
  <c r="AY31" i="1" l="1"/>
  <c r="AY35" i="1"/>
  <c r="AY14" i="1"/>
  <c r="AY37" i="1" s="1"/>
  <c r="AX37" i="1"/>
  <c r="F5" i="1"/>
  <c r="J5" i="1"/>
  <c r="O5" i="1"/>
  <c r="M13" i="1"/>
  <c r="N13" i="1"/>
  <c r="L13" i="1"/>
  <c r="O13" i="1"/>
</calcChain>
</file>

<file path=xl/sharedStrings.xml><?xml version="1.0" encoding="utf-8"?>
<sst xmlns="http://schemas.openxmlformats.org/spreadsheetml/2006/main" count="127" uniqueCount="71">
  <si>
    <t>①観光入込数</t>
    <phoneticPr fontId="2"/>
  </si>
  <si>
    <t>④佐渡汽船利用者数</t>
    <rPh sb="1" eb="3">
      <t>サド</t>
    </rPh>
    <rPh sb="3" eb="5">
      <t>キセン</t>
    </rPh>
    <rPh sb="5" eb="7">
      <t>リヨウ</t>
    </rPh>
    <rPh sb="7" eb="8">
      <t>シャ</t>
    </rPh>
    <rPh sb="8" eb="9">
      <t>スウ</t>
    </rPh>
    <phoneticPr fontId="2"/>
  </si>
  <si>
    <t>⑤さどまる倶楽部会員数</t>
    <rPh sb="5" eb="8">
      <t>クラブ</t>
    </rPh>
    <rPh sb="8" eb="11">
      <t>カイインスウ</t>
    </rPh>
    <phoneticPr fontId="2"/>
  </si>
  <si>
    <t>2018年度</t>
    <phoneticPr fontId="2"/>
  </si>
  <si>
    <t>2019年度</t>
    <phoneticPr fontId="2"/>
  </si>
  <si>
    <t>2020年度</t>
    <phoneticPr fontId="2"/>
  </si>
  <si>
    <t>2021年度</t>
    <phoneticPr fontId="2"/>
  </si>
  <si>
    <t>2022年度</t>
    <phoneticPr fontId="2"/>
  </si>
  <si>
    <t>2023年度</t>
    <phoneticPr fontId="2"/>
  </si>
  <si>
    <t>2024年度</t>
    <phoneticPr fontId="2"/>
  </si>
  <si>
    <t>2025年度</t>
    <phoneticPr fontId="2"/>
  </si>
  <si>
    <t>2026年度</t>
    <phoneticPr fontId="2"/>
  </si>
  <si>
    <t>2027年度</t>
    <phoneticPr fontId="2"/>
  </si>
  <si>
    <t>2028年度</t>
    <phoneticPr fontId="2"/>
  </si>
  <si>
    <t>2029年度</t>
    <phoneticPr fontId="2"/>
  </si>
  <si>
    <t>2030年度</t>
    <phoneticPr fontId="2"/>
  </si>
  <si>
    <t>②年間宿泊者数</t>
    <rPh sb="2" eb="4">
      <t>シュクハク</t>
    </rPh>
    <rPh sb="3" eb="4">
      <t>シャ</t>
    </rPh>
    <rPh sb="4" eb="5">
      <t>スウ</t>
    </rPh>
    <phoneticPr fontId="2"/>
  </si>
  <si>
    <t>⑥佐渡の関係人口（⑤×10倍）</t>
    <rPh sb="1" eb="3">
      <t>サド</t>
    </rPh>
    <rPh sb="4" eb="6">
      <t>カンケイ</t>
    </rPh>
    <rPh sb="6" eb="8">
      <t>ジンコウ</t>
    </rPh>
    <rPh sb="13" eb="14">
      <t>バイ</t>
    </rPh>
    <phoneticPr fontId="2"/>
  </si>
  <si>
    <t>佐渡市の関係人口等予測（DMO作成：2018年度までの実績と2019年度以降の予測）</t>
    <phoneticPr fontId="2"/>
  </si>
  <si>
    <t>2030年度</t>
  </si>
  <si>
    <t>2031年度</t>
  </si>
  <si>
    <t>2032年度</t>
  </si>
  <si>
    <t>2033年度</t>
  </si>
  <si>
    <t>2034年度</t>
  </si>
  <si>
    <t>2035年度</t>
  </si>
  <si>
    <t>2036年度</t>
  </si>
  <si>
    <t>2037年度</t>
  </si>
  <si>
    <t>2038年度</t>
  </si>
  <si>
    <t>2039年度</t>
  </si>
  <si>
    <t>2040年度</t>
  </si>
  <si>
    <t>2041年度</t>
  </si>
  <si>
    <t>2042年度</t>
  </si>
  <si>
    <t>2043年度</t>
  </si>
  <si>
    <t>2044年度</t>
  </si>
  <si>
    <t>2045年度</t>
  </si>
  <si>
    <t>2046年度</t>
  </si>
  <si>
    <t>2047年度</t>
  </si>
  <si>
    <t>2048年度</t>
  </si>
  <si>
    <t>2049年度</t>
  </si>
  <si>
    <t>2050年度</t>
  </si>
  <si>
    <t>→見込み</t>
    <rPh sb="1" eb="3">
      <t>ミコ</t>
    </rPh>
    <phoneticPr fontId="2"/>
  </si>
  <si>
    <t>実数←</t>
    <rPh sb="0" eb="2">
      <t>ジッスウ</t>
    </rPh>
    <phoneticPr fontId="2"/>
  </si>
  <si>
    <t>予算減（最高）</t>
    <rPh sb="0" eb="2">
      <t>ヨサン</t>
    </rPh>
    <rPh sb="2" eb="3">
      <t>ゲン</t>
    </rPh>
    <rPh sb="4" eb="6">
      <t>サイコウ</t>
    </rPh>
    <phoneticPr fontId="2"/>
  </si>
  <si>
    <t>予算減（最低）</t>
    <rPh sb="0" eb="2">
      <t>ヨサン</t>
    </rPh>
    <rPh sb="2" eb="3">
      <t>ゲン</t>
    </rPh>
    <rPh sb="4" eb="6">
      <t>サイテイ</t>
    </rPh>
    <phoneticPr fontId="2"/>
  </si>
  <si>
    <t>予算減（平均）</t>
    <rPh sb="0" eb="2">
      <t>ヨサン</t>
    </rPh>
    <rPh sb="2" eb="3">
      <t>ゲン</t>
    </rPh>
    <rPh sb="4" eb="6">
      <t>ヘイキン</t>
    </rPh>
    <phoneticPr fontId="2"/>
  </si>
  <si>
    <t>②人口（出生率向上、社会減均衡）</t>
    <rPh sb="1" eb="3">
      <t>ジンコウ</t>
    </rPh>
    <rPh sb="4" eb="7">
      <t>シュッショウリツ</t>
    </rPh>
    <rPh sb="7" eb="9">
      <t>コウジョウ</t>
    </rPh>
    <rPh sb="10" eb="13">
      <t>シャカイゲン</t>
    </rPh>
    <rPh sb="13" eb="15">
      <t>キンコウ</t>
    </rPh>
    <phoneticPr fontId="2"/>
  </si>
  <si>
    <t>②'人口（平成27年社人研推計）</t>
    <rPh sb="2" eb="4">
      <t>ジンコウ</t>
    </rPh>
    <rPh sb="5" eb="7">
      <t>ヘイセイ</t>
    </rPh>
    <rPh sb="9" eb="10">
      <t>ネン</t>
    </rPh>
    <rPh sb="10" eb="13">
      <t>シャジンケン</t>
    </rPh>
    <rPh sb="13" eb="15">
      <t>スイケイ</t>
    </rPh>
    <phoneticPr fontId="2"/>
  </si>
  <si>
    <t>③一般会計当初予算（※億円）</t>
    <rPh sb="1" eb="5">
      <t>イッパンカイケイ</t>
    </rPh>
    <rPh sb="5" eb="9">
      <t>トウショヨサン</t>
    </rPh>
    <rPh sb="11" eb="13">
      <t>オクエン</t>
    </rPh>
    <phoneticPr fontId="2"/>
  </si>
  <si>
    <t>⑤年間宿泊者数</t>
    <rPh sb="2" eb="4">
      <t>シュクハク</t>
    </rPh>
    <rPh sb="3" eb="4">
      <t>シャ</t>
    </rPh>
    <rPh sb="4" eb="5">
      <t>スウ</t>
    </rPh>
    <phoneticPr fontId="2"/>
  </si>
  <si>
    <t>⑧さどまる倶楽部会員数</t>
    <rPh sb="5" eb="8">
      <t>クラブ</t>
    </rPh>
    <rPh sb="8" eb="11">
      <t>カイインスウ</t>
    </rPh>
    <phoneticPr fontId="2"/>
  </si>
  <si>
    <t>⑨佐渡の関係人口（⑧×10倍）</t>
    <rPh sb="1" eb="3">
      <t>サド</t>
    </rPh>
    <rPh sb="4" eb="6">
      <t>カンケイ</t>
    </rPh>
    <rPh sb="6" eb="8">
      <t>ジンコウ</t>
    </rPh>
    <rPh sb="13" eb="14">
      <t>バイ</t>
    </rPh>
    <phoneticPr fontId="2"/>
  </si>
  <si>
    <t>⑦佐渡汽船利用者数（＋飛行機）</t>
    <rPh sb="1" eb="3">
      <t>サド</t>
    </rPh>
    <rPh sb="3" eb="5">
      <t>キセン</t>
    </rPh>
    <rPh sb="5" eb="7">
      <t>リヨウ</t>
    </rPh>
    <rPh sb="7" eb="8">
      <t>シャ</t>
    </rPh>
    <rPh sb="8" eb="9">
      <t>スウ</t>
    </rPh>
    <rPh sb="11" eb="14">
      <t>ヒコウキ</t>
    </rPh>
    <phoneticPr fontId="2"/>
  </si>
  <si>
    <t>⑥うち訪日外国人観光客数</t>
    <rPh sb="3" eb="11">
      <t>ホウニチガイコクジンカンコウキャク</t>
    </rPh>
    <rPh sb="11" eb="12">
      <t>スウ</t>
    </rPh>
    <phoneticPr fontId="2"/>
  </si>
  <si>
    <t>③うち訪日外国人観光客数</t>
    <rPh sb="3" eb="11">
      <t>ホウニチガイコクジンカンコウキャク</t>
    </rPh>
    <rPh sb="11" eb="12">
      <t>スウ</t>
    </rPh>
    <phoneticPr fontId="2"/>
  </si>
  <si>
    <t>19年度</t>
    <phoneticPr fontId="2"/>
  </si>
  <si>
    <t>20年度</t>
    <phoneticPr fontId="2"/>
  </si>
  <si>
    <t>21年度</t>
    <phoneticPr fontId="2"/>
  </si>
  <si>
    <t>22年度</t>
    <phoneticPr fontId="2"/>
  </si>
  <si>
    <t>23年度</t>
    <phoneticPr fontId="2"/>
  </si>
  <si>
    <t>24年度</t>
    <phoneticPr fontId="2"/>
  </si>
  <si>
    <t>25年度</t>
    <phoneticPr fontId="2"/>
  </si>
  <si>
    <t>30年度</t>
    <phoneticPr fontId="2"/>
  </si>
  <si>
    <t>35年度</t>
    <phoneticPr fontId="2"/>
  </si>
  <si>
    <t>40年度</t>
    <phoneticPr fontId="2"/>
  </si>
  <si>
    <t>45年度</t>
    <phoneticPr fontId="2"/>
  </si>
  <si>
    <t>佐渡市の人口等予測（室岡作成：2020年度までの実績と2021～2050年度までの予測）</t>
    <phoneticPr fontId="2"/>
  </si>
  <si>
    <t>④観光客入込数</t>
    <rPh sb="3" eb="4">
      <t>キャク</t>
    </rPh>
    <phoneticPr fontId="2"/>
  </si>
  <si>
    <t>④観光客入込数</t>
    <phoneticPr fontId="2"/>
  </si>
  <si>
    <t>①ご自身の年齢（歳）</t>
    <rPh sb="2" eb="4">
      <t>ジシン</t>
    </rPh>
    <rPh sb="5" eb="7">
      <t>ネンレイ</t>
    </rPh>
    <rPh sb="8" eb="9">
      <t>サイ</t>
    </rPh>
    <phoneticPr fontId="2"/>
  </si>
  <si>
    <t>歳</t>
    <rPh sb="0" eb="1">
      <t>サイ</t>
    </rPh>
    <phoneticPr fontId="2"/>
  </si>
  <si>
    <t>③一般会計当初予算（※十万円）</t>
    <rPh sb="1" eb="5">
      <t>イッパンカイケイ</t>
    </rPh>
    <rPh sb="5" eb="9">
      <t>トウショヨサン</t>
    </rPh>
    <rPh sb="11" eb="13">
      <t>ジュウマン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</si>
</sst>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MaruGothicMPRO"/>
      <family val="2"/>
      <charset val="128"/>
    </font>
    <font>
      <sz val="11"/>
      <color theme="0"/>
      <name val="HGMaruGothicMPRO"/>
      <family val="2"/>
      <charset val="128"/>
    </font>
    <font>
      <sz val="11"/>
      <color theme="0"/>
      <name val="HGMaruGothicM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38" fontId="3" fillId="3" borderId="6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7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3" borderId="12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40" fontId="3" fillId="0" borderId="0" xfId="0" applyNumberFormat="1" applyFont="1">
      <alignment vertical="center"/>
    </xf>
    <xf numFmtId="38" fontId="3" fillId="4" borderId="12" xfId="1" applyFont="1" applyFill="1" applyBorder="1">
      <alignment vertical="center"/>
    </xf>
    <xf numFmtId="38" fontId="3" fillId="4" borderId="13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0" fontId="4" fillId="5" borderId="1" xfId="0" applyFont="1" applyFill="1" applyBorder="1">
      <alignment vertical="center"/>
    </xf>
    <xf numFmtId="38" fontId="5" fillId="5" borderId="1" xfId="1" applyFont="1" applyFill="1" applyBorder="1">
      <alignment vertical="center"/>
    </xf>
    <xf numFmtId="38" fontId="5" fillId="5" borderId="7" xfId="1" applyFont="1" applyFill="1" applyBorder="1">
      <alignment vertical="center"/>
    </xf>
    <xf numFmtId="38" fontId="5" fillId="5" borderId="10" xfId="1" applyFont="1" applyFill="1" applyBorder="1">
      <alignment vertical="center"/>
    </xf>
    <xf numFmtId="0" fontId="3" fillId="6" borderId="1" xfId="0" applyFont="1" applyFill="1" applyBorder="1">
      <alignment vertical="center"/>
    </xf>
    <xf numFmtId="38" fontId="3" fillId="6" borderId="1" xfId="1" applyFont="1" applyFill="1" applyBorder="1">
      <alignment vertical="center"/>
    </xf>
    <xf numFmtId="38" fontId="3" fillId="6" borderId="7" xfId="1" applyFont="1" applyFill="1" applyBorder="1">
      <alignment vertical="center"/>
    </xf>
    <xf numFmtId="38" fontId="3" fillId="6" borderId="10" xfId="1" applyFont="1" applyFill="1" applyBorder="1">
      <alignment vertical="center"/>
    </xf>
    <xf numFmtId="0" fontId="3" fillId="7" borderId="1" xfId="0" applyFont="1" applyFill="1" applyBorder="1">
      <alignment vertical="center"/>
    </xf>
    <xf numFmtId="38" fontId="3" fillId="7" borderId="1" xfId="1" applyFont="1" applyFill="1" applyBorder="1">
      <alignment vertical="center"/>
    </xf>
    <xf numFmtId="38" fontId="3" fillId="7" borderId="7" xfId="1" applyFont="1" applyFill="1" applyBorder="1">
      <alignment vertical="center"/>
    </xf>
    <xf numFmtId="38" fontId="3" fillId="7" borderId="10" xfId="1" applyFont="1" applyFill="1" applyBorder="1">
      <alignment vertical="center"/>
    </xf>
    <xf numFmtId="0" fontId="4" fillId="8" borderId="3" xfId="0" applyFont="1" applyFill="1" applyBorder="1">
      <alignment vertical="center"/>
    </xf>
    <xf numFmtId="38" fontId="5" fillId="8" borderId="3" xfId="1" applyFont="1" applyFill="1" applyBorder="1">
      <alignment vertical="center"/>
    </xf>
    <xf numFmtId="38" fontId="5" fillId="8" borderId="6" xfId="1" applyFont="1" applyFill="1" applyBorder="1">
      <alignment vertical="center"/>
    </xf>
    <xf numFmtId="38" fontId="5" fillId="8" borderId="9" xfId="1" applyFont="1" applyFill="1" applyBorder="1">
      <alignment vertical="center"/>
    </xf>
    <xf numFmtId="38" fontId="5" fillId="8" borderId="17" xfId="1" applyFont="1" applyFill="1" applyBorder="1">
      <alignment vertical="center"/>
    </xf>
    <xf numFmtId="38" fontId="5" fillId="8" borderId="1" xfId="1" applyFont="1" applyFill="1" applyBorder="1">
      <alignment vertical="center"/>
    </xf>
    <xf numFmtId="0" fontId="3" fillId="9" borderId="3" xfId="0" applyFont="1" applyFill="1" applyBorder="1">
      <alignment vertical="center"/>
    </xf>
    <xf numFmtId="38" fontId="3" fillId="9" borderId="3" xfId="1" applyFont="1" applyFill="1" applyBorder="1">
      <alignment vertical="center"/>
    </xf>
    <xf numFmtId="38" fontId="3" fillId="9" borderId="6" xfId="1" applyFont="1" applyFill="1" applyBorder="1">
      <alignment vertical="center"/>
    </xf>
    <xf numFmtId="38" fontId="3" fillId="9" borderId="9" xfId="1" applyFont="1" applyFill="1" applyBorder="1">
      <alignment vertical="center"/>
    </xf>
    <xf numFmtId="38" fontId="3" fillId="9" borderId="17" xfId="1" applyFont="1" applyFill="1" applyBorder="1">
      <alignment vertical="center"/>
    </xf>
    <xf numFmtId="0" fontId="4" fillId="10" borderId="1" xfId="0" applyFont="1" applyFill="1" applyBorder="1">
      <alignment vertical="center"/>
    </xf>
    <xf numFmtId="38" fontId="5" fillId="10" borderId="1" xfId="1" applyFont="1" applyFill="1" applyBorder="1">
      <alignment vertical="center"/>
    </xf>
    <xf numFmtId="38" fontId="5" fillId="10" borderId="7" xfId="1" applyFont="1" applyFill="1" applyBorder="1">
      <alignment vertical="center"/>
    </xf>
    <xf numFmtId="38" fontId="5" fillId="10" borderId="10" xfId="1" applyFont="1" applyFill="1" applyBorder="1">
      <alignment vertical="center"/>
    </xf>
    <xf numFmtId="0" fontId="3" fillId="11" borderId="3" xfId="0" applyFont="1" applyFill="1" applyBorder="1">
      <alignment vertical="center"/>
    </xf>
    <xf numFmtId="38" fontId="3" fillId="11" borderId="3" xfId="1" applyFont="1" applyFill="1" applyBorder="1">
      <alignment vertical="center"/>
    </xf>
    <xf numFmtId="38" fontId="3" fillId="11" borderId="6" xfId="1" applyFont="1" applyFill="1" applyBorder="1">
      <alignment vertical="center"/>
    </xf>
    <xf numFmtId="38" fontId="3" fillId="11" borderId="9" xfId="1" applyFont="1" applyFill="1" applyBorder="1">
      <alignment vertical="center"/>
    </xf>
    <xf numFmtId="0" fontId="3" fillId="12" borderId="3" xfId="0" applyFont="1" applyFill="1" applyBorder="1">
      <alignment vertical="center"/>
    </xf>
    <xf numFmtId="38" fontId="3" fillId="12" borderId="3" xfId="1" applyFont="1" applyFill="1" applyBorder="1">
      <alignment vertical="center"/>
    </xf>
    <xf numFmtId="38" fontId="3" fillId="12" borderId="6" xfId="1" applyFont="1" applyFill="1" applyBorder="1">
      <alignment vertical="center"/>
    </xf>
    <xf numFmtId="38" fontId="3" fillId="12" borderId="9" xfId="1" applyFont="1" applyFill="1" applyBorder="1">
      <alignment vertical="center"/>
    </xf>
    <xf numFmtId="38" fontId="3" fillId="12" borderId="17" xfId="1" applyFont="1" applyFill="1" applyBorder="1">
      <alignment vertical="center"/>
    </xf>
    <xf numFmtId="38" fontId="3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050"/>
      <color rgb="FFFF9966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予測!$B$12</c:f>
              <c:strCache>
                <c:ptCount val="1"/>
                <c:pt idx="0">
                  <c:v>④観光客入込数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予測!$C$12:$AI$12</c:f>
              <c:numCache>
                <c:formatCode>#,##0_);[Red]\(#,##0\)</c:formatCode>
                <c:ptCount val="33"/>
                <c:pt idx="0">
                  <c:v>504000</c:v>
                </c:pt>
                <c:pt idx="1">
                  <c:v>498000</c:v>
                </c:pt>
                <c:pt idx="2">
                  <c:v>254000</c:v>
                </c:pt>
                <c:pt idx="3">
                  <c:v>269000</c:v>
                </c:pt>
                <c:pt idx="4">
                  <c:v>400000</c:v>
                </c:pt>
                <c:pt idx="5">
                  <c:v>500000</c:v>
                </c:pt>
                <c:pt idx="6">
                  <c:v>514000</c:v>
                </c:pt>
                <c:pt idx="7">
                  <c:v>529000</c:v>
                </c:pt>
                <c:pt idx="8">
                  <c:v>543000</c:v>
                </c:pt>
                <c:pt idx="9">
                  <c:v>557000</c:v>
                </c:pt>
                <c:pt idx="10">
                  <c:v>571000</c:v>
                </c:pt>
                <c:pt idx="11">
                  <c:v>586000</c:v>
                </c:pt>
                <c:pt idx="12">
                  <c:v>600000</c:v>
                </c:pt>
                <c:pt idx="13">
                  <c:v>600000</c:v>
                </c:pt>
                <c:pt idx="14">
                  <c:v>600000</c:v>
                </c:pt>
                <c:pt idx="15">
                  <c:v>600000</c:v>
                </c:pt>
                <c:pt idx="16">
                  <c:v>600000</c:v>
                </c:pt>
                <c:pt idx="17">
                  <c:v>600000</c:v>
                </c:pt>
                <c:pt idx="18">
                  <c:v>600000</c:v>
                </c:pt>
                <c:pt idx="19">
                  <c:v>600000</c:v>
                </c:pt>
                <c:pt idx="20">
                  <c:v>600000</c:v>
                </c:pt>
                <c:pt idx="21">
                  <c:v>600000</c:v>
                </c:pt>
                <c:pt idx="22">
                  <c:v>600000</c:v>
                </c:pt>
                <c:pt idx="23">
                  <c:v>600000</c:v>
                </c:pt>
                <c:pt idx="24">
                  <c:v>600000</c:v>
                </c:pt>
                <c:pt idx="25">
                  <c:v>600000</c:v>
                </c:pt>
                <c:pt idx="26">
                  <c:v>600000</c:v>
                </c:pt>
                <c:pt idx="27">
                  <c:v>600000</c:v>
                </c:pt>
                <c:pt idx="28">
                  <c:v>600000</c:v>
                </c:pt>
                <c:pt idx="29">
                  <c:v>600000</c:v>
                </c:pt>
                <c:pt idx="30">
                  <c:v>600000</c:v>
                </c:pt>
                <c:pt idx="31">
                  <c:v>600000</c:v>
                </c:pt>
                <c:pt idx="32">
                  <c:v>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F-4686-B201-54A681BBFF46}"/>
            </c:ext>
          </c:extLst>
        </c:ser>
        <c:ser>
          <c:idx val="1"/>
          <c:order val="1"/>
          <c:tx>
            <c:strRef>
              <c:f>予測!$B$13</c:f>
              <c:strCache>
                <c:ptCount val="1"/>
                <c:pt idx="0">
                  <c:v>⑤年間宿泊者数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予測!$C$13:$AI$13</c:f>
              <c:numCache>
                <c:formatCode>#,##0_);[Red]\(#,##0\)</c:formatCode>
                <c:ptCount val="33"/>
                <c:pt idx="0">
                  <c:v>290656</c:v>
                </c:pt>
                <c:pt idx="1">
                  <c:v>290233</c:v>
                </c:pt>
                <c:pt idx="2">
                  <c:v>154353</c:v>
                </c:pt>
                <c:pt idx="3">
                  <c:v>159000</c:v>
                </c:pt>
                <c:pt idx="4">
                  <c:v>240000</c:v>
                </c:pt>
                <c:pt idx="5">
                  <c:v>300000</c:v>
                </c:pt>
                <c:pt idx="6">
                  <c:v>308400</c:v>
                </c:pt>
                <c:pt idx="7">
                  <c:v>317400</c:v>
                </c:pt>
                <c:pt idx="8">
                  <c:v>325800</c:v>
                </c:pt>
                <c:pt idx="9">
                  <c:v>334200</c:v>
                </c:pt>
                <c:pt idx="10">
                  <c:v>342600</c:v>
                </c:pt>
                <c:pt idx="11">
                  <c:v>351600</c:v>
                </c:pt>
                <c:pt idx="12">
                  <c:v>360000</c:v>
                </c:pt>
                <c:pt idx="13">
                  <c:v>360000</c:v>
                </c:pt>
                <c:pt idx="14">
                  <c:v>360000</c:v>
                </c:pt>
                <c:pt idx="15">
                  <c:v>360000</c:v>
                </c:pt>
                <c:pt idx="16">
                  <c:v>360000</c:v>
                </c:pt>
                <c:pt idx="17">
                  <c:v>360000</c:v>
                </c:pt>
                <c:pt idx="18">
                  <c:v>360000</c:v>
                </c:pt>
                <c:pt idx="19">
                  <c:v>360000</c:v>
                </c:pt>
                <c:pt idx="20">
                  <c:v>360000</c:v>
                </c:pt>
                <c:pt idx="21">
                  <c:v>360000</c:v>
                </c:pt>
                <c:pt idx="22">
                  <c:v>360000</c:v>
                </c:pt>
                <c:pt idx="23">
                  <c:v>360000</c:v>
                </c:pt>
                <c:pt idx="24">
                  <c:v>360000</c:v>
                </c:pt>
                <c:pt idx="25">
                  <c:v>360000</c:v>
                </c:pt>
                <c:pt idx="26">
                  <c:v>360000</c:v>
                </c:pt>
                <c:pt idx="27">
                  <c:v>360000</c:v>
                </c:pt>
                <c:pt idx="28">
                  <c:v>360000</c:v>
                </c:pt>
                <c:pt idx="29">
                  <c:v>360000</c:v>
                </c:pt>
                <c:pt idx="30">
                  <c:v>360000</c:v>
                </c:pt>
                <c:pt idx="31">
                  <c:v>360000</c:v>
                </c:pt>
                <c:pt idx="32">
                  <c:v>360000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F-4686-B201-54A681BBFF46}"/>
            </c:ext>
          </c:extLst>
        </c:ser>
        <c:ser>
          <c:idx val="2"/>
          <c:order val="2"/>
          <c:tx>
            <c:strRef>
              <c:f>予測!$B$14</c:f>
              <c:strCache>
                <c:ptCount val="1"/>
                <c:pt idx="0">
                  <c:v>⑥うち訪日外国人観光客数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予測!$C$14:$AI$14</c:f>
              <c:numCache>
                <c:formatCode>#,##0_);[Red]\(#,##0\)</c:formatCode>
                <c:ptCount val="33"/>
                <c:pt idx="0">
                  <c:v>26000</c:v>
                </c:pt>
                <c:pt idx="1">
                  <c:v>14584</c:v>
                </c:pt>
                <c:pt idx="2">
                  <c:v>1128</c:v>
                </c:pt>
                <c:pt idx="3">
                  <c:v>300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  <c:pt idx="21">
                  <c:v>50000</c:v>
                </c:pt>
                <c:pt idx="22">
                  <c:v>50000</c:v>
                </c:pt>
                <c:pt idx="23">
                  <c:v>50000</c:v>
                </c:pt>
                <c:pt idx="24">
                  <c:v>50000</c:v>
                </c:pt>
                <c:pt idx="25">
                  <c:v>50000</c:v>
                </c:pt>
                <c:pt idx="26">
                  <c:v>50000</c:v>
                </c:pt>
                <c:pt idx="27">
                  <c:v>50000</c:v>
                </c:pt>
                <c:pt idx="28">
                  <c:v>50000</c:v>
                </c:pt>
                <c:pt idx="29">
                  <c:v>50000</c:v>
                </c:pt>
                <c:pt idx="30">
                  <c:v>50000</c:v>
                </c:pt>
                <c:pt idx="31">
                  <c:v>50000</c:v>
                </c:pt>
                <c:pt idx="32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F-4686-B201-54A681BBFF46}"/>
            </c:ext>
          </c:extLst>
        </c:ser>
        <c:ser>
          <c:idx val="3"/>
          <c:order val="3"/>
          <c:tx>
            <c:strRef>
              <c:f>予測!$B$15</c:f>
              <c:strCache>
                <c:ptCount val="1"/>
                <c:pt idx="0">
                  <c:v>⑦佐渡汽船利用者数（＋飛行機）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予測!$C$15:$AI$15</c:f>
              <c:numCache>
                <c:formatCode>#,##0_);[Red]\(#,##0\)</c:formatCode>
                <c:ptCount val="33"/>
                <c:pt idx="0">
                  <c:v>1480352</c:v>
                </c:pt>
                <c:pt idx="1">
                  <c:v>1466681</c:v>
                </c:pt>
                <c:pt idx="2">
                  <c:v>760342</c:v>
                </c:pt>
                <c:pt idx="3">
                  <c:v>768000</c:v>
                </c:pt>
                <c:pt idx="4">
                  <c:v>1000000</c:v>
                </c:pt>
                <c:pt idx="5">
                  <c:v>1250000</c:v>
                </c:pt>
                <c:pt idx="6">
                  <c:v>1285000</c:v>
                </c:pt>
                <c:pt idx="7">
                  <c:v>1322500</c:v>
                </c:pt>
                <c:pt idx="8">
                  <c:v>1357500</c:v>
                </c:pt>
                <c:pt idx="9">
                  <c:v>1392500</c:v>
                </c:pt>
                <c:pt idx="10">
                  <c:v>1427500</c:v>
                </c:pt>
                <c:pt idx="11">
                  <c:v>1465000</c:v>
                </c:pt>
                <c:pt idx="12">
                  <c:v>1500000</c:v>
                </c:pt>
                <c:pt idx="13">
                  <c:v>1500000</c:v>
                </c:pt>
                <c:pt idx="14">
                  <c:v>1500000</c:v>
                </c:pt>
                <c:pt idx="15">
                  <c:v>1500000</c:v>
                </c:pt>
                <c:pt idx="16">
                  <c:v>1500000</c:v>
                </c:pt>
                <c:pt idx="17">
                  <c:v>1500000</c:v>
                </c:pt>
                <c:pt idx="18">
                  <c:v>1500000</c:v>
                </c:pt>
                <c:pt idx="19">
                  <c:v>1500000</c:v>
                </c:pt>
                <c:pt idx="20">
                  <c:v>1500000</c:v>
                </c:pt>
                <c:pt idx="21">
                  <c:v>1500000</c:v>
                </c:pt>
                <c:pt idx="22">
                  <c:v>1500000</c:v>
                </c:pt>
                <c:pt idx="23">
                  <c:v>1500000</c:v>
                </c:pt>
                <c:pt idx="24">
                  <c:v>1500000</c:v>
                </c:pt>
                <c:pt idx="25">
                  <c:v>1500000</c:v>
                </c:pt>
                <c:pt idx="26">
                  <c:v>1500000</c:v>
                </c:pt>
                <c:pt idx="27">
                  <c:v>1500000</c:v>
                </c:pt>
                <c:pt idx="28">
                  <c:v>1500000</c:v>
                </c:pt>
                <c:pt idx="29">
                  <c:v>1500000</c:v>
                </c:pt>
                <c:pt idx="30">
                  <c:v>1500000</c:v>
                </c:pt>
                <c:pt idx="31">
                  <c:v>1500000</c:v>
                </c:pt>
                <c:pt idx="32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1F-4686-B201-54A681BBFF46}"/>
            </c:ext>
          </c:extLst>
        </c:ser>
        <c:ser>
          <c:idx val="4"/>
          <c:order val="4"/>
          <c:tx>
            <c:strRef>
              <c:f>予測!$B$16</c:f>
              <c:strCache>
                <c:ptCount val="1"/>
                <c:pt idx="0">
                  <c:v>⑧さどまる倶楽部会員数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予測!$C$16:$AI$16</c:f>
              <c:numCache>
                <c:formatCode>#,##0_);[Red]\(#,##0\)</c:formatCode>
                <c:ptCount val="33"/>
                <c:pt idx="0">
                  <c:v>15496</c:v>
                </c:pt>
                <c:pt idx="1">
                  <c:v>19033</c:v>
                </c:pt>
                <c:pt idx="2">
                  <c:v>36106</c:v>
                </c:pt>
                <c:pt idx="3">
                  <c:v>48000</c:v>
                </c:pt>
                <c:pt idx="4">
                  <c:v>60000</c:v>
                </c:pt>
                <c:pt idx="5">
                  <c:v>65000</c:v>
                </c:pt>
                <c:pt idx="6">
                  <c:v>70000</c:v>
                </c:pt>
                <c:pt idx="7">
                  <c:v>75000</c:v>
                </c:pt>
                <c:pt idx="8">
                  <c:v>80000</c:v>
                </c:pt>
                <c:pt idx="9">
                  <c:v>85000</c:v>
                </c:pt>
                <c:pt idx="10">
                  <c:v>90000</c:v>
                </c:pt>
                <c:pt idx="11">
                  <c:v>95000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1F-4686-B201-54A681BBFF46}"/>
            </c:ext>
          </c:extLst>
        </c:ser>
        <c:ser>
          <c:idx val="5"/>
          <c:order val="5"/>
          <c:tx>
            <c:strRef>
              <c:f>予測!$B$17</c:f>
              <c:strCache>
                <c:ptCount val="1"/>
                <c:pt idx="0">
                  <c:v>⑨佐渡の関係人口（⑧×10倍）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予測!$C$7:$AI$7</c:f>
              <c:strCache>
                <c:ptCount val="3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  <c:pt idx="13">
                  <c:v>2031年度</c:v>
                </c:pt>
                <c:pt idx="14">
                  <c:v>2032年度</c:v>
                </c:pt>
                <c:pt idx="15">
                  <c:v>2033年度</c:v>
                </c:pt>
                <c:pt idx="16">
                  <c:v>2034年度</c:v>
                </c:pt>
                <c:pt idx="17">
                  <c:v>2035年度</c:v>
                </c:pt>
                <c:pt idx="18">
                  <c:v>2036年度</c:v>
                </c:pt>
                <c:pt idx="19">
                  <c:v>2037年度</c:v>
                </c:pt>
                <c:pt idx="20">
                  <c:v>2038年度</c:v>
                </c:pt>
                <c:pt idx="21">
                  <c:v>2039年度</c:v>
                </c:pt>
                <c:pt idx="22">
                  <c:v>2040年度</c:v>
                </c:pt>
                <c:pt idx="23">
                  <c:v>2041年度</c:v>
                </c:pt>
                <c:pt idx="24">
                  <c:v>2042年度</c:v>
                </c:pt>
                <c:pt idx="25">
                  <c:v>2043年度</c:v>
                </c:pt>
                <c:pt idx="26">
                  <c:v>2044年度</c:v>
                </c:pt>
                <c:pt idx="27">
                  <c:v>2045年度</c:v>
                </c:pt>
                <c:pt idx="28">
                  <c:v>2046年度</c:v>
                </c:pt>
                <c:pt idx="29">
                  <c:v>2047年度</c:v>
                </c:pt>
                <c:pt idx="30">
                  <c:v>2048年度</c:v>
                </c:pt>
                <c:pt idx="31">
                  <c:v>2049年度</c:v>
                </c:pt>
                <c:pt idx="32">
                  <c:v>2050年度</c:v>
                </c:pt>
              </c:strCache>
            </c:strRef>
          </c:cat>
          <c:val>
            <c:numRef>
              <c:f>予測!$C$17:$AI$17</c:f>
              <c:numCache>
                <c:formatCode>#,##0_);[Red]\(#,##0\)</c:formatCode>
                <c:ptCount val="33"/>
                <c:pt idx="0">
                  <c:v>154960</c:v>
                </c:pt>
                <c:pt idx="1">
                  <c:v>190330</c:v>
                </c:pt>
                <c:pt idx="2">
                  <c:v>361060</c:v>
                </c:pt>
                <c:pt idx="3">
                  <c:v>480000</c:v>
                </c:pt>
                <c:pt idx="4">
                  <c:v>600000</c:v>
                </c:pt>
                <c:pt idx="5">
                  <c:v>650000</c:v>
                </c:pt>
                <c:pt idx="6">
                  <c:v>700000</c:v>
                </c:pt>
                <c:pt idx="7">
                  <c:v>750000</c:v>
                </c:pt>
                <c:pt idx="8">
                  <c:v>800000</c:v>
                </c:pt>
                <c:pt idx="9">
                  <c:v>850000</c:v>
                </c:pt>
                <c:pt idx="10">
                  <c:v>900000</c:v>
                </c:pt>
                <c:pt idx="11">
                  <c:v>950000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  <c:pt idx="30">
                  <c:v>1000000</c:v>
                </c:pt>
                <c:pt idx="31">
                  <c:v>1000000</c:v>
                </c:pt>
                <c:pt idx="32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1F-4686-B201-54A681BB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435384"/>
        <c:axId val="602432184"/>
      </c:lineChart>
      <c:catAx>
        <c:axId val="60243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432184"/>
        <c:crosses val="autoZero"/>
        <c:auto val="1"/>
        <c:lblAlgn val="ctr"/>
        <c:lblOffset val="100"/>
        <c:noMultiLvlLbl val="0"/>
      </c:catAx>
      <c:valAx>
        <c:axId val="60243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43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予測!$AL$12</c:f>
              <c:strCache>
                <c:ptCount val="1"/>
                <c:pt idx="0">
                  <c:v>①観光入込数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予測!$AM$12:$AY$12</c:f>
              <c:numCache>
                <c:formatCode>#,##0_);[Red]\(#,##0\)</c:formatCode>
                <c:ptCount val="13"/>
                <c:pt idx="0">
                  <c:v>491000</c:v>
                </c:pt>
                <c:pt idx="1">
                  <c:v>490000</c:v>
                </c:pt>
                <c:pt idx="2">
                  <c:v>500000</c:v>
                </c:pt>
                <c:pt idx="3">
                  <c:v>509000</c:v>
                </c:pt>
                <c:pt idx="4">
                  <c:v>519350</c:v>
                </c:pt>
                <c:pt idx="5">
                  <c:v>531252.5</c:v>
                </c:pt>
                <c:pt idx="6">
                  <c:v>544940.375</c:v>
                </c:pt>
                <c:pt idx="7">
                  <c:v>560681.43125000002</c:v>
                </c:pt>
                <c:pt idx="8">
                  <c:v>578783.64593750006</c:v>
                </c:pt>
                <c:pt idx="9">
                  <c:v>599601.19282812509</c:v>
                </c:pt>
                <c:pt idx="10">
                  <c:v>623541.37175234384</c:v>
                </c:pt>
                <c:pt idx="11">
                  <c:v>651072.57751519536</c:v>
                </c:pt>
                <c:pt idx="12">
                  <c:v>682733.46414247458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E-4128-BB17-6B930B83DE7B}"/>
            </c:ext>
          </c:extLst>
        </c:ser>
        <c:ser>
          <c:idx val="1"/>
          <c:order val="1"/>
          <c:tx>
            <c:strRef>
              <c:f>予測!$AL$13</c:f>
              <c:strCache>
                <c:ptCount val="1"/>
                <c:pt idx="0">
                  <c:v>②年間宿泊者数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予測!$AM$13:$AY$13</c:f>
              <c:numCache>
                <c:formatCode>#,##0_);[Red]\(#,##0\)</c:formatCode>
                <c:ptCount val="13"/>
                <c:pt idx="0">
                  <c:v>289500</c:v>
                </c:pt>
                <c:pt idx="1">
                  <c:v>274500</c:v>
                </c:pt>
                <c:pt idx="2">
                  <c:v>328700</c:v>
                </c:pt>
                <c:pt idx="3">
                  <c:v>459000</c:v>
                </c:pt>
                <c:pt idx="4">
                  <c:v>493350</c:v>
                </c:pt>
                <c:pt idx="5">
                  <c:v>527677.5</c:v>
                </c:pt>
                <c:pt idx="6">
                  <c:v>515576.62499999994</c:v>
                </c:pt>
                <c:pt idx="7">
                  <c:v>550936.96874999988</c:v>
                </c:pt>
                <c:pt idx="8">
                  <c:v>615475.29937499994</c:v>
                </c:pt>
                <c:pt idx="9">
                  <c:v>700857.41198437486</c:v>
                </c:pt>
                <c:pt idx="10">
                  <c:v>801995.99396132783</c:v>
                </c:pt>
                <c:pt idx="11">
                  <c:v>919542.27247924171</c:v>
                </c:pt>
                <c:pt idx="12">
                  <c:v>1213788.6874444433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E-4128-BB17-6B930B83DE7B}"/>
            </c:ext>
          </c:extLst>
        </c:ser>
        <c:ser>
          <c:idx val="2"/>
          <c:order val="2"/>
          <c:tx>
            <c:strRef>
              <c:f>予測!$AL$14</c:f>
              <c:strCache>
                <c:ptCount val="1"/>
                <c:pt idx="0">
                  <c:v>③うち訪日外国人観光客数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予測!$AM$14:$AY$14</c:f>
              <c:numCache>
                <c:formatCode>#,##0_);[Red]\(#,##0\)</c:formatCode>
                <c:ptCount val="13"/>
                <c:pt idx="0">
                  <c:v>26000</c:v>
                </c:pt>
                <c:pt idx="1">
                  <c:v>28000</c:v>
                </c:pt>
                <c:pt idx="2">
                  <c:v>40000</c:v>
                </c:pt>
                <c:pt idx="3">
                  <c:v>51700</c:v>
                </c:pt>
                <c:pt idx="4">
                  <c:v>66190</c:v>
                </c:pt>
                <c:pt idx="5">
                  <c:v>84043.75</c:v>
                </c:pt>
                <c:pt idx="6">
                  <c:v>105944.35</c:v>
                </c:pt>
                <c:pt idx="7">
                  <c:v>132704.14562500003</c:v>
                </c:pt>
                <c:pt idx="8">
                  <c:v>165288.13206250008</c:v>
                </c:pt>
                <c:pt idx="9">
                  <c:v>204841.47115468764</c:v>
                </c:pt>
                <c:pt idx="10">
                  <c:v>252721.82900312514</c:v>
                </c:pt>
                <c:pt idx="11">
                  <c:v>321549.84341025393</c:v>
                </c:pt>
                <c:pt idx="12">
                  <c:v>416532.5032920916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E-4128-BB17-6B930B83DE7B}"/>
            </c:ext>
          </c:extLst>
        </c:ser>
        <c:ser>
          <c:idx val="3"/>
          <c:order val="3"/>
          <c:tx>
            <c:strRef>
              <c:f>予測!$AL$15</c:f>
              <c:strCache>
                <c:ptCount val="1"/>
                <c:pt idx="0">
                  <c:v>④佐渡汽船利用者数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予測!$AM$15:$AY$15</c:f>
              <c:numCache>
                <c:formatCode>#,##0_);[Red]\(#,##0\)</c:formatCode>
                <c:ptCount val="13"/>
                <c:pt idx="0">
                  <c:v>1480352</c:v>
                </c:pt>
                <c:pt idx="1">
                  <c:v>1470000</c:v>
                </c:pt>
                <c:pt idx="2">
                  <c:v>1480000</c:v>
                </c:pt>
                <c:pt idx="3">
                  <c:v>1489000</c:v>
                </c:pt>
                <c:pt idx="4">
                  <c:v>1499350</c:v>
                </c:pt>
                <c:pt idx="5">
                  <c:v>1511252.5</c:v>
                </c:pt>
                <c:pt idx="6">
                  <c:v>1524940.375</c:v>
                </c:pt>
                <c:pt idx="7">
                  <c:v>1540681.4312499999</c:v>
                </c:pt>
                <c:pt idx="8">
                  <c:v>1558783.6459374998</c:v>
                </c:pt>
                <c:pt idx="9">
                  <c:v>1579601.1928281249</c:v>
                </c:pt>
                <c:pt idx="10">
                  <c:v>1603541.3717523436</c:v>
                </c:pt>
                <c:pt idx="11">
                  <c:v>1631072.5775151951</c:v>
                </c:pt>
                <c:pt idx="12">
                  <c:v>1662733.4641424743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E-4128-BB17-6B930B83DE7B}"/>
            </c:ext>
          </c:extLst>
        </c:ser>
        <c:ser>
          <c:idx val="4"/>
          <c:order val="4"/>
          <c:tx>
            <c:strRef>
              <c:f>予測!$AL$16</c:f>
              <c:strCache>
                <c:ptCount val="1"/>
                <c:pt idx="0">
                  <c:v>⑤さどまる倶楽部会員数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予測!$AM$16:$AY$16</c:f>
              <c:numCache>
                <c:formatCode>#,##0_);[Red]\(#,##0\)</c:formatCode>
                <c:ptCount val="13"/>
                <c:pt idx="0">
                  <c:v>15000</c:v>
                </c:pt>
                <c:pt idx="1">
                  <c:v>19000</c:v>
                </c:pt>
                <c:pt idx="2">
                  <c:v>30000</c:v>
                </c:pt>
                <c:pt idx="3">
                  <c:v>34500</c:v>
                </c:pt>
                <c:pt idx="4">
                  <c:v>39675</c:v>
                </c:pt>
                <c:pt idx="5">
                  <c:v>45626.25</c:v>
                </c:pt>
                <c:pt idx="6">
                  <c:v>52470.187499999993</c:v>
                </c:pt>
                <c:pt idx="7">
                  <c:v>60340.71562499999</c:v>
                </c:pt>
                <c:pt idx="8">
                  <c:v>69391.822968749984</c:v>
                </c:pt>
                <c:pt idx="9">
                  <c:v>79800.596414062471</c:v>
                </c:pt>
                <c:pt idx="10">
                  <c:v>91770.685876171832</c:v>
                </c:pt>
                <c:pt idx="11">
                  <c:v>105536.28875759761</c:v>
                </c:pt>
                <c:pt idx="12">
                  <c:v>121366.73207123723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E-4128-BB17-6B930B83DE7B}"/>
            </c:ext>
          </c:extLst>
        </c:ser>
        <c:ser>
          <c:idx val="5"/>
          <c:order val="5"/>
          <c:tx>
            <c:strRef>
              <c:f>予測!$AL$17</c:f>
              <c:strCache>
                <c:ptCount val="1"/>
                <c:pt idx="0">
                  <c:v>⑥佐渡の関係人口（⑤×10倍）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予測!$AM$7:$AY$7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予測!$AM$17:$AY$17</c:f>
              <c:numCache>
                <c:formatCode>#,##0_);[Red]\(#,##0\)</c:formatCode>
                <c:ptCount val="13"/>
                <c:pt idx="0">
                  <c:v>150000</c:v>
                </c:pt>
                <c:pt idx="1">
                  <c:v>150000</c:v>
                </c:pt>
                <c:pt idx="2">
                  <c:v>190000</c:v>
                </c:pt>
                <c:pt idx="3">
                  <c:v>300000</c:v>
                </c:pt>
                <c:pt idx="4">
                  <c:v>345000</c:v>
                </c:pt>
                <c:pt idx="5">
                  <c:v>396750</c:v>
                </c:pt>
                <c:pt idx="6">
                  <c:v>456262.5</c:v>
                </c:pt>
                <c:pt idx="7">
                  <c:v>524701.87499999988</c:v>
                </c:pt>
                <c:pt idx="8">
                  <c:v>603407.15624999988</c:v>
                </c:pt>
                <c:pt idx="9">
                  <c:v>693918.22968749981</c:v>
                </c:pt>
                <c:pt idx="10">
                  <c:v>798005.96414062474</c:v>
                </c:pt>
                <c:pt idx="11">
                  <c:v>917706.85876171826</c:v>
                </c:pt>
                <c:pt idx="12">
                  <c:v>1213667.3207123722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E-4128-BB17-6B930B83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435384"/>
        <c:axId val="602432184"/>
      </c:lineChart>
      <c:catAx>
        <c:axId val="60243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432184"/>
        <c:crosses val="autoZero"/>
        <c:auto val="1"/>
        <c:lblAlgn val="ctr"/>
        <c:lblOffset val="100"/>
        <c:noMultiLvlLbl val="0"/>
      </c:catAx>
      <c:valAx>
        <c:axId val="60243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43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  <a:cs typeface="+mn-cs"/>
              </a:defRPr>
            </a:pPr>
            <a:r>
              <a:rPr lang="ja-JP" altLang="en-US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佐渡市の関係人口等予測（</a:t>
            </a:r>
            <a:r>
              <a:rPr lang="en-US" altLang="ja-JP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DMO</a:t>
            </a:r>
            <a:r>
              <a:rPr lang="ja-JP" altLang="en-US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作成：</a:t>
            </a:r>
            <a:r>
              <a:rPr lang="en-US" altLang="ja-JP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2018</a:t>
            </a:r>
            <a:r>
              <a:rPr lang="ja-JP" altLang="en-US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年度までの実績と</a:t>
            </a:r>
            <a:r>
              <a:rPr lang="en-US" altLang="ja-JP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2019</a:t>
            </a:r>
            <a:r>
              <a:rPr lang="ja-JP" altLang="en-US" sz="1800"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年度以降の予測）</a:t>
            </a:r>
          </a:p>
        </c:rich>
      </c:tx>
      <c:layout>
        <c:manualLayout>
          <c:xMode val="edge"/>
          <c:yMode val="edge"/>
          <c:x val="0.21518499661977677"/>
          <c:y val="2.8246532254160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66849789560872"/>
          <c:y val="0.11487166449191101"/>
          <c:w val="0.85532241290310362"/>
          <c:h val="0.73360262081051197"/>
        </c:manualLayout>
      </c:layout>
      <c:lineChart>
        <c:grouping val="standard"/>
        <c:varyColors val="0"/>
        <c:ser>
          <c:idx val="0"/>
          <c:order val="0"/>
          <c:tx>
            <c:strRef>
              <c:f>予測!$AL$31</c:f>
              <c:strCache>
                <c:ptCount val="1"/>
                <c:pt idx="0">
                  <c:v>①観光入込数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cat>
            <c:strRef>
              <c:f>予測!$AM$30:$AY$30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予測!$AM$31:$AY$31</c:f>
              <c:numCache>
                <c:formatCode>#,##0_);[Red]\(#,##0\)</c:formatCode>
                <c:ptCount val="13"/>
                <c:pt idx="0">
                  <c:v>491000</c:v>
                </c:pt>
                <c:pt idx="1">
                  <c:v>490000</c:v>
                </c:pt>
                <c:pt idx="2">
                  <c:v>500000</c:v>
                </c:pt>
                <c:pt idx="3">
                  <c:v>509000</c:v>
                </c:pt>
                <c:pt idx="4">
                  <c:v>519350</c:v>
                </c:pt>
                <c:pt idx="5">
                  <c:v>531252.5</c:v>
                </c:pt>
                <c:pt idx="6">
                  <c:v>544940.375</c:v>
                </c:pt>
                <c:pt idx="7">
                  <c:v>560681.43125000002</c:v>
                </c:pt>
                <c:pt idx="8">
                  <c:v>578783.64593750006</c:v>
                </c:pt>
                <c:pt idx="9">
                  <c:v>599601.19282812509</c:v>
                </c:pt>
                <c:pt idx="10">
                  <c:v>623541.37175234384</c:v>
                </c:pt>
                <c:pt idx="11">
                  <c:v>651072.57751519536</c:v>
                </c:pt>
                <c:pt idx="12">
                  <c:v>682733.46414247458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5-4A4A-8938-BC7CDB02EE41}"/>
            </c:ext>
          </c:extLst>
        </c:ser>
        <c:ser>
          <c:idx val="1"/>
          <c:order val="1"/>
          <c:tx>
            <c:strRef>
              <c:f>予測!$AL$39</c:f>
              <c:strCache>
                <c:ptCount val="1"/>
                <c:pt idx="0">
                  <c:v>⑤さどまる倶楽部会員数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cat>
            <c:strRef>
              <c:f>予測!$AM$30:$AY$30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予測!$AM$39:$AY$39</c:f>
              <c:numCache>
                <c:formatCode>#,##0_);[Red]\(#,##0\)</c:formatCode>
                <c:ptCount val="13"/>
                <c:pt idx="0">
                  <c:v>15000</c:v>
                </c:pt>
                <c:pt idx="1">
                  <c:v>19000</c:v>
                </c:pt>
                <c:pt idx="2">
                  <c:v>30000</c:v>
                </c:pt>
                <c:pt idx="3">
                  <c:v>34500</c:v>
                </c:pt>
                <c:pt idx="4">
                  <c:v>39675</c:v>
                </c:pt>
                <c:pt idx="5">
                  <c:v>45626.25</c:v>
                </c:pt>
                <c:pt idx="6">
                  <c:v>52470.187499999993</c:v>
                </c:pt>
                <c:pt idx="7">
                  <c:v>60340.71562499999</c:v>
                </c:pt>
                <c:pt idx="8">
                  <c:v>69391.822968749984</c:v>
                </c:pt>
                <c:pt idx="9">
                  <c:v>79800.596414062471</c:v>
                </c:pt>
                <c:pt idx="10">
                  <c:v>91770.685876171832</c:v>
                </c:pt>
                <c:pt idx="11">
                  <c:v>105536.28875759761</c:v>
                </c:pt>
                <c:pt idx="12">
                  <c:v>121366.73207123723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5-4A4A-8938-BC7CDB02EE41}"/>
            </c:ext>
          </c:extLst>
        </c:ser>
        <c:ser>
          <c:idx val="2"/>
          <c:order val="2"/>
          <c:tx>
            <c:strRef>
              <c:f>予測!$AL$40</c:f>
              <c:strCache>
                <c:ptCount val="1"/>
                <c:pt idx="0">
                  <c:v>⑥佐渡の関係人口（⑤×10倍）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0">
                <a:solidFill>
                  <a:srgbClr val="00B050"/>
                </a:solidFill>
              </a:ln>
              <a:effectLst/>
            </c:spPr>
          </c:marker>
          <c:cat>
            <c:strRef>
              <c:f>予測!$AM$30:$AY$30</c:f>
              <c:strCache>
                <c:ptCount val="13"/>
                <c:pt idx="0">
                  <c:v>2018年度</c:v>
                </c:pt>
                <c:pt idx="1">
                  <c:v>2019年度</c:v>
                </c:pt>
                <c:pt idx="2">
                  <c:v>2020年度</c:v>
                </c:pt>
                <c:pt idx="3">
                  <c:v>2021年度</c:v>
                </c:pt>
                <c:pt idx="4">
                  <c:v>2022年度</c:v>
                </c:pt>
                <c:pt idx="5">
                  <c:v>2023年度</c:v>
                </c:pt>
                <c:pt idx="6">
                  <c:v>2024年度</c:v>
                </c:pt>
                <c:pt idx="7">
                  <c:v>2025年度</c:v>
                </c:pt>
                <c:pt idx="8">
                  <c:v>2026年度</c:v>
                </c:pt>
                <c:pt idx="9">
                  <c:v>2027年度</c:v>
                </c:pt>
                <c:pt idx="10">
                  <c:v>2028年度</c:v>
                </c:pt>
                <c:pt idx="11">
                  <c:v>2029年度</c:v>
                </c:pt>
                <c:pt idx="12">
                  <c:v>2030年度</c:v>
                </c:pt>
              </c:strCache>
            </c:strRef>
          </c:cat>
          <c:val>
            <c:numRef>
              <c:f>予測!$AM$40:$AY$40</c:f>
              <c:numCache>
                <c:formatCode>#,##0_);[Red]\(#,##0\)</c:formatCode>
                <c:ptCount val="13"/>
                <c:pt idx="0">
                  <c:v>150000</c:v>
                </c:pt>
                <c:pt idx="1">
                  <c:v>150000</c:v>
                </c:pt>
                <c:pt idx="2">
                  <c:v>190000</c:v>
                </c:pt>
                <c:pt idx="3">
                  <c:v>300000</c:v>
                </c:pt>
                <c:pt idx="4">
                  <c:v>345000</c:v>
                </c:pt>
                <c:pt idx="5">
                  <c:v>396750</c:v>
                </c:pt>
                <c:pt idx="6">
                  <c:v>456262.5</c:v>
                </c:pt>
                <c:pt idx="7">
                  <c:v>524701.87499999988</c:v>
                </c:pt>
                <c:pt idx="8">
                  <c:v>603407.15624999988</c:v>
                </c:pt>
                <c:pt idx="9">
                  <c:v>693918.22968749981</c:v>
                </c:pt>
                <c:pt idx="10">
                  <c:v>798005.96414062474</c:v>
                </c:pt>
                <c:pt idx="11">
                  <c:v>917706.85876171826</c:v>
                </c:pt>
                <c:pt idx="12">
                  <c:v>1213667.3207123722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5-4A4A-8938-BC7CDB02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07472"/>
        <c:axId val="663706192"/>
      </c:lineChart>
      <c:catAx>
        <c:axId val="6637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  <a:cs typeface="+mn-cs"/>
              </a:defRPr>
            </a:pPr>
            <a:endParaRPr lang="ja-JP"/>
          </a:p>
        </c:txPr>
        <c:crossAx val="663706192"/>
        <c:crosses val="autoZero"/>
        <c:auto val="1"/>
        <c:lblAlgn val="ctr"/>
        <c:lblOffset val="100"/>
        <c:noMultiLvlLbl val="0"/>
      </c:catAx>
      <c:valAx>
        <c:axId val="663706192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  <a:cs typeface="+mn-cs"/>
              </a:defRPr>
            </a:pPr>
            <a:endParaRPr lang="ja-JP"/>
          </a:p>
        </c:txPr>
        <c:crossAx val="6637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1979519050118"/>
          <c:y val="0.90303791904683939"/>
          <c:w val="0.68744796270285491"/>
          <c:h val="9.6035391503273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34" charset="-128"/>
                <a:ea typeface="HG丸ｺﾞｼｯｸM-PRO" panose="020F0400000000000000" pitchFamily="34" charset="-128"/>
                <a:cs typeface="+mn-cs"/>
              </a:defRPr>
            </a:pPr>
            <a:r>
              <a:rPr lang="ja-JP" altLang="ja-JP" sz="1800" b="0" i="0" baseline="0">
                <a:effectLst/>
              </a:rPr>
              <a:t>佐渡市の人口等予測（室岡作成：</a:t>
            </a:r>
            <a:r>
              <a:rPr lang="en-US" altLang="ja-JP" sz="1800" b="0" i="0" baseline="0">
                <a:effectLst/>
              </a:rPr>
              <a:t>2020</a:t>
            </a:r>
            <a:r>
              <a:rPr lang="ja-JP" altLang="ja-JP" sz="1800" b="0" i="0" baseline="0">
                <a:effectLst/>
              </a:rPr>
              <a:t>年度までの実績と</a:t>
            </a:r>
            <a:r>
              <a:rPr lang="en-US" altLang="ja-JP" sz="1800" b="0" i="0" baseline="0">
                <a:effectLst/>
              </a:rPr>
              <a:t>2021</a:t>
            </a:r>
            <a:r>
              <a:rPr lang="ja-JP" altLang="en-US" sz="1800" b="0" i="0" baseline="0">
                <a:effectLst/>
              </a:rPr>
              <a:t>～</a:t>
            </a:r>
            <a:r>
              <a:rPr lang="en-US" altLang="ja-JP" sz="1800" b="0" i="0" baseline="0">
                <a:effectLst/>
              </a:rPr>
              <a:t>2050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まで</a:t>
            </a:r>
            <a:r>
              <a:rPr lang="ja-JP" altLang="ja-JP" sz="1800" b="0" i="0" baseline="0">
                <a:effectLst/>
              </a:rPr>
              <a:t>の予測）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400000000000000" pitchFamily="34" charset="-128"/>
              <a:ea typeface="HG丸ｺﾞｼｯｸM-PRO" panose="020F0400000000000000" pitchFamily="34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638119227539884E-2"/>
          <c:y val="7.0705752196576738E-2"/>
          <c:w val="0.85860621326616293"/>
          <c:h val="0.77224565457394245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予測!$B$34</c:f>
              <c:strCache>
                <c:ptCount val="1"/>
                <c:pt idx="0">
                  <c:v>③一般会計当初予算（※十万円）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予測!$C$34:$O$34</c:f>
              <c:numCache>
                <c:formatCode>#,##0_);[Red]\(#,##0\)</c:formatCode>
                <c:ptCount val="13"/>
                <c:pt idx="0">
                  <c:v>451000</c:v>
                </c:pt>
                <c:pt idx="1">
                  <c:v>430000</c:v>
                </c:pt>
                <c:pt idx="2">
                  <c:v>445000</c:v>
                </c:pt>
                <c:pt idx="3">
                  <c:v>455000</c:v>
                </c:pt>
                <c:pt idx="4">
                  <c:v>451000</c:v>
                </c:pt>
                <c:pt idx="5">
                  <c:v>447000</c:v>
                </c:pt>
                <c:pt idx="6">
                  <c:v>443000</c:v>
                </c:pt>
                <c:pt idx="7">
                  <c:v>439000</c:v>
                </c:pt>
                <c:pt idx="8">
                  <c:v>433000</c:v>
                </c:pt>
                <c:pt idx="9">
                  <c:v>427000</c:v>
                </c:pt>
                <c:pt idx="10">
                  <c:v>422000</c:v>
                </c:pt>
                <c:pt idx="11">
                  <c:v>417000</c:v>
                </c:pt>
                <c:pt idx="12">
                  <c:v>413000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9-4836-8524-963A4605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9231696"/>
        <c:axId val="529235536"/>
      </c:barChart>
      <c:lineChart>
        <c:grouping val="standard"/>
        <c:varyColors val="0"/>
        <c:ser>
          <c:idx val="4"/>
          <c:order val="3"/>
          <c:tx>
            <c:strRef>
              <c:f>予測!$B$35</c:f>
              <c:strCache>
                <c:ptCount val="1"/>
                <c:pt idx="0">
                  <c:v>④観光客入込数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27000">
                <a:solidFill>
                  <a:schemeClr val="accent5"/>
                </a:solidFill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予測!$C$35:$O$35</c:f>
              <c:numCache>
                <c:formatCode>#,##0_);[Red]\(#,##0\)</c:formatCode>
                <c:ptCount val="13"/>
                <c:pt idx="0">
                  <c:v>504000</c:v>
                </c:pt>
                <c:pt idx="1">
                  <c:v>498000</c:v>
                </c:pt>
                <c:pt idx="2">
                  <c:v>254000</c:v>
                </c:pt>
                <c:pt idx="3">
                  <c:v>269000</c:v>
                </c:pt>
                <c:pt idx="4">
                  <c:v>400000</c:v>
                </c:pt>
                <c:pt idx="5">
                  <c:v>500000</c:v>
                </c:pt>
                <c:pt idx="6">
                  <c:v>514000</c:v>
                </c:pt>
                <c:pt idx="7">
                  <c:v>529000</c:v>
                </c:pt>
                <c:pt idx="8">
                  <c:v>600000</c:v>
                </c:pt>
                <c:pt idx="9">
                  <c:v>600000</c:v>
                </c:pt>
                <c:pt idx="10">
                  <c:v>600000</c:v>
                </c:pt>
                <c:pt idx="11">
                  <c:v>600000</c:v>
                </c:pt>
                <c:pt idx="12">
                  <c:v>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19-4836-8524-963A460514E1}"/>
            </c:ext>
          </c:extLst>
        </c:ser>
        <c:ser>
          <c:idx val="5"/>
          <c:order val="4"/>
          <c:tx>
            <c:strRef>
              <c:f>予測!$B$36</c:f>
              <c:strCache>
                <c:ptCount val="1"/>
                <c:pt idx="0">
                  <c:v>⑤年間宿泊者数</c:v>
                </c:pt>
              </c:strCache>
            </c:strRef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27000">
                <a:solidFill>
                  <a:srgbClr val="0070C0"/>
                </a:solidFill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予測!$C$36:$O$36</c:f>
              <c:numCache>
                <c:formatCode>#,##0_);[Red]\(#,##0\)</c:formatCode>
                <c:ptCount val="13"/>
                <c:pt idx="0">
                  <c:v>290656</c:v>
                </c:pt>
                <c:pt idx="1">
                  <c:v>290233</c:v>
                </c:pt>
                <c:pt idx="2">
                  <c:v>154353</c:v>
                </c:pt>
                <c:pt idx="3">
                  <c:v>159000</c:v>
                </c:pt>
                <c:pt idx="4">
                  <c:v>240000</c:v>
                </c:pt>
                <c:pt idx="5">
                  <c:v>300000</c:v>
                </c:pt>
                <c:pt idx="6">
                  <c:v>308400</c:v>
                </c:pt>
                <c:pt idx="7">
                  <c:v>317400</c:v>
                </c:pt>
                <c:pt idx="8">
                  <c:v>360000</c:v>
                </c:pt>
                <c:pt idx="9">
                  <c:v>360000</c:v>
                </c:pt>
                <c:pt idx="10">
                  <c:v>360000</c:v>
                </c:pt>
                <c:pt idx="11">
                  <c:v>360000</c:v>
                </c:pt>
                <c:pt idx="12">
                  <c:v>360000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9-4836-8524-963A460514E1}"/>
            </c:ext>
          </c:extLst>
        </c:ser>
        <c:ser>
          <c:idx val="7"/>
          <c:order val="5"/>
          <c:tx>
            <c:strRef>
              <c:f>予測!$B$38</c:f>
              <c:strCache>
                <c:ptCount val="1"/>
                <c:pt idx="0">
                  <c:v>⑦佐渡汽船利用者数（＋飛行機）</c:v>
                </c:pt>
              </c:strCache>
            </c:strRef>
          </c:tx>
          <c:spPr>
            <a:ln w="635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127000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予測!$C$38:$O$38</c:f>
              <c:numCache>
                <c:formatCode>#,##0_);[Red]\(#,##0\)</c:formatCode>
                <c:ptCount val="13"/>
                <c:pt idx="0">
                  <c:v>1480352</c:v>
                </c:pt>
                <c:pt idx="1">
                  <c:v>1466681</c:v>
                </c:pt>
                <c:pt idx="2">
                  <c:v>760342</c:v>
                </c:pt>
                <c:pt idx="3">
                  <c:v>768000</c:v>
                </c:pt>
                <c:pt idx="4">
                  <c:v>1000000</c:v>
                </c:pt>
                <c:pt idx="5">
                  <c:v>1250000</c:v>
                </c:pt>
                <c:pt idx="6">
                  <c:v>1285000</c:v>
                </c:pt>
                <c:pt idx="7">
                  <c:v>1322500</c:v>
                </c:pt>
                <c:pt idx="8">
                  <c:v>1500000</c:v>
                </c:pt>
                <c:pt idx="9">
                  <c:v>1500000</c:v>
                </c:pt>
                <c:pt idx="10">
                  <c:v>1500000</c:v>
                </c:pt>
                <c:pt idx="11">
                  <c:v>1500000</c:v>
                </c:pt>
                <c:pt idx="12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19-4836-8524-963A460514E1}"/>
            </c:ext>
          </c:extLst>
        </c:ser>
        <c:ser>
          <c:idx val="8"/>
          <c:order val="6"/>
          <c:tx>
            <c:strRef>
              <c:f>予測!$B$39</c:f>
              <c:strCache>
                <c:ptCount val="1"/>
                <c:pt idx="0">
                  <c:v>⑧さどまる倶楽部会員数</c:v>
                </c:pt>
              </c:strCache>
            </c:strRef>
          </c:tx>
          <c:spPr>
            <a:ln w="635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15"/>
            <c:spPr>
              <a:solidFill>
                <a:srgbClr val="00B050"/>
              </a:solidFill>
              <a:ln w="127000">
                <a:noFill/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予測!$C$39:$O$39</c:f>
              <c:numCache>
                <c:formatCode>#,##0_);[Red]\(#,##0\)</c:formatCode>
                <c:ptCount val="13"/>
                <c:pt idx="0">
                  <c:v>15496</c:v>
                </c:pt>
                <c:pt idx="1">
                  <c:v>19033</c:v>
                </c:pt>
                <c:pt idx="2">
                  <c:v>36106</c:v>
                </c:pt>
                <c:pt idx="3">
                  <c:v>48000</c:v>
                </c:pt>
                <c:pt idx="4">
                  <c:v>60000</c:v>
                </c:pt>
                <c:pt idx="5">
                  <c:v>65000</c:v>
                </c:pt>
                <c:pt idx="6">
                  <c:v>70000</c:v>
                </c:pt>
                <c:pt idx="7">
                  <c:v>75000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9-4836-8524-963A460514E1}"/>
            </c:ext>
          </c:extLst>
        </c:ser>
        <c:ser>
          <c:idx val="9"/>
          <c:order val="7"/>
          <c:tx>
            <c:strRef>
              <c:f>予測!$B$40</c:f>
              <c:strCache>
                <c:ptCount val="1"/>
                <c:pt idx="0">
                  <c:v>⑨佐渡の関係人口（⑧×10倍）</c:v>
                </c:pt>
              </c:strCache>
            </c:strRef>
          </c:tx>
          <c:spPr>
            <a:ln w="6350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square"/>
            <c:size val="15"/>
            <c:spPr>
              <a:solidFill>
                <a:srgbClr val="92D050"/>
              </a:solidFill>
              <a:ln w="127000">
                <a:noFill/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予測!$C$40:$O$40</c:f>
              <c:numCache>
                <c:formatCode>#,##0_);[Red]\(#,##0\)</c:formatCode>
                <c:ptCount val="13"/>
                <c:pt idx="0">
                  <c:v>154960</c:v>
                </c:pt>
                <c:pt idx="1">
                  <c:v>190330</c:v>
                </c:pt>
                <c:pt idx="2">
                  <c:v>361060</c:v>
                </c:pt>
                <c:pt idx="3">
                  <c:v>480000</c:v>
                </c:pt>
                <c:pt idx="4">
                  <c:v>600000</c:v>
                </c:pt>
                <c:pt idx="5">
                  <c:v>650000</c:v>
                </c:pt>
                <c:pt idx="6">
                  <c:v>700000</c:v>
                </c:pt>
                <c:pt idx="7">
                  <c:v>750000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19-4836-8524-963A4605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31696"/>
        <c:axId val="529235536"/>
      </c:lineChart>
      <c:lineChart>
        <c:grouping val="standard"/>
        <c:varyColors val="0"/>
        <c:ser>
          <c:idx val="1"/>
          <c:order val="0"/>
          <c:tx>
            <c:strRef>
              <c:f>予測!$B$32</c:f>
              <c:strCache>
                <c:ptCount val="1"/>
                <c:pt idx="0">
                  <c:v>②人口（出生率向上、社会減均衡）</c:v>
                </c:pt>
              </c:strCache>
            </c:strRef>
          </c:tx>
          <c:spPr>
            <a:ln w="63500" cap="rnd">
              <a:solidFill>
                <a:srgbClr val="FF5050"/>
              </a:solidFill>
              <a:prstDash val="sysDot"/>
              <a:round/>
            </a:ln>
            <a:effectLst/>
          </c:spPr>
          <c:marker>
            <c:symbol val="triangle"/>
            <c:size val="20"/>
            <c:spPr>
              <a:solidFill>
                <a:srgbClr val="FF5050"/>
              </a:solidFill>
              <a:ln w="127000">
                <a:noFill/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予測!$C$32:$O$32</c:f>
              <c:numCache>
                <c:formatCode>#,##0_);[Red]\(#,##0\)</c:formatCode>
                <c:ptCount val="13"/>
                <c:pt idx="0">
                  <c:v>54656</c:v>
                </c:pt>
                <c:pt idx="1">
                  <c:v>53563</c:v>
                </c:pt>
                <c:pt idx="2">
                  <c:v>52467</c:v>
                </c:pt>
                <c:pt idx="3">
                  <c:v>51940.800000000003</c:v>
                </c:pt>
                <c:pt idx="4">
                  <c:v>51414.6</c:v>
                </c:pt>
                <c:pt idx="5">
                  <c:v>50888.4</c:v>
                </c:pt>
                <c:pt idx="6">
                  <c:v>50362.2</c:v>
                </c:pt>
                <c:pt idx="7">
                  <c:v>49836</c:v>
                </c:pt>
                <c:pt idx="8">
                  <c:v>46576</c:v>
                </c:pt>
                <c:pt idx="9">
                  <c:v>43707</c:v>
                </c:pt>
                <c:pt idx="10">
                  <c:v>41002</c:v>
                </c:pt>
                <c:pt idx="11">
                  <c:v>38746</c:v>
                </c:pt>
                <c:pt idx="12">
                  <c:v>36753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9-4836-8524-963A460514E1}"/>
            </c:ext>
          </c:extLst>
        </c:ser>
        <c:ser>
          <c:idx val="2"/>
          <c:order val="1"/>
          <c:tx>
            <c:strRef>
              <c:f>予測!$B$33</c:f>
              <c:strCache>
                <c:ptCount val="1"/>
                <c:pt idx="0">
                  <c:v>②'人口（平成27年社人研推計）</c:v>
                </c:pt>
              </c:strCache>
            </c:strRef>
          </c:tx>
          <c:spPr>
            <a:ln w="63500" cap="rnd">
              <a:solidFill>
                <a:srgbClr val="FF9966"/>
              </a:solidFill>
              <a:prstDash val="sysDot"/>
              <a:round/>
            </a:ln>
            <a:effectLst/>
          </c:spPr>
          <c:marker>
            <c:symbol val="triangle"/>
            <c:size val="20"/>
            <c:spPr>
              <a:solidFill>
                <a:srgbClr val="FF9966"/>
              </a:solidFill>
              <a:ln w="63500">
                <a:noFill/>
              </a:ln>
              <a:effectLst/>
            </c:spPr>
          </c:marker>
          <c:cat>
            <c:strRef>
              <c:f>予測!$C$30:$O$30</c:f>
              <c:strCache>
                <c:ptCount val="13"/>
                <c:pt idx="0">
                  <c:v>2018年度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30年度</c:v>
                </c:pt>
                <c:pt idx="9">
                  <c:v>35年度</c:v>
                </c:pt>
                <c:pt idx="10">
                  <c:v>40年度</c:v>
                </c:pt>
                <c:pt idx="11">
                  <c:v>45年度</c:v>
                </c:pt>
                <c:pt idx="12">
                  <c:v>2050年度</c:v>
                </c:pt>
              </c:strCache>
            </c:strRef>
          </c:cat>
          <c:val>
            <c:numRef>
              <c:f>予測!$C$33:$O$33</c:f>
              <c:numCache>
                <c:formatCode>#,##0_);[Red]\(#,##0\)</c:formatCode>
                <c:ptCount val="13"/>
                <c:pt idx="0">
                  <c:v>54656</c:v>
                </c:pt>
                <c:pt idx="1">
                  <c:v>53563</c:v>
                </c:pt>
                <c:pt idx="2">
                  <c:v>52467</c:v>
                </c:pt>
                <c:pt idx="3">
                  <c:v>51347.6</c:v>
                </c:pt>
                <c:pt idx="4">
                  <c:v>50228.2</c:v>
                </c:pt>
                <c:pt idx="5">
                  <c:v>49108.800000000003</c:v>
                </c:pt>
                <c:pt idx="6">
                  <c:v>47989.4</c:v>
                </c:pt>
                <c:pt idx="7">
                  <c:v>46870</c:v>
                </c:pt>
                <c:pt idx="8">
                  <c:v>42054</c:v>
                </c:pt>
                <c:pt idx="9">
                  <c:v>37630</c:v>
                </c:pt>
                <c:pt idx="10">
                  <c:v>33412</c:v>
                </c:pt>
                <c:pt idx="11">
                  <c:v>29468</c:v>
                </c:pt>
                <c:pt idx="12">
                  <c:v>25877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9-4836-8524-963A4605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182024"/>
        <c:axId val="574179784"/>
      </c:lineChart>
      <c:catAx>
        <c:axId val="5292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34" charset="-128"/>
                <a:ea typeface="HG丸ｺﾞｼｯｸM-PRO" panose="020F0400000000000000" pitchFamily="34" charset="-128"/>
                <a:cs typeface="+mn-cs"/>
              </a:defRPr>
            </a:pPr>
            <a:endParaRPr lang="ja-JP"/>
          </a:p>
        </c:txPr>
        <c:crossAx val="529235536"/>
        <c:crosses val="autoZero"/>
        <c:auto val="1"/>
        <c:lblAlgn val="ctr"/>
        <c:lblOffset val="100"/>
        <c:noMultiLvlLbl val="0"/>
      </c:catAx>
      <c:valAx>
        <c:axId val="529235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34" charset="-128"/>
                <a:ea typeface="HG丸ｺﾞｼｯｸM-PRO" panose="020F0400000000000000" pitchFamily="34" charset="-128"/>
                <a:cs typeface="+mn-cs"/>
              </a:defRPr>
            </a:pPr>
            <a:endParaRPr lang="ja-JP"/>
          </a:p>
        </c:txPr>
        <c:crossAx val="529231696"/>
        <c:crosses val="autoZero"/>
        <c:crossBetween val="between"/>
      </c:valAx>
      <c:valAx>
        <c:axId val="5741797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400000000000000" pitchFamily="34" charset="-128"/>
                <a:ea typeface="HG丸ｺﾞｼｯｸM-PRO" panose="020F0400000000000000" pitchFamily="34" charset="-128"/>
                <a:cs typeface="+mn-cs"/>
              </a:defRPr>
            </a:pPr>
            <a:endParaRPr lang="ja-JP"/>
          </a:p>
        </c:txPr>
        <c:crossAx val="574182024"/>
        <c:crosses val="max"/>
        <c:crossBetween val="between"/>
      </c:valAx>
      <c:catAx>
        <c:axId val="57418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179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53996112855031E-2"/>
          <c:y val="0.9027743955565305"/>
          <c:w val="0.85494214975326732"/>
          <c:h val="5.8778275891006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400000000000000" pitchFamily="34" charset="-128"/>
              <a:ea typeface="HG丸ｺﾞｼｯｸM-PRO" panose="020F0400000000000000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HG丸ｺﾞｼｯｸM-PRO" panose="020F0400000000000000" pitchFamily="34" charset="-128"/>
          <a:ea typeface="HG丸ｺﾞｼｯｸM-PRO" panose="020F0400000000000000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1022418</xdr:colOff>
      <xdr:row>18</xdr:row>
      <xdr:rowOff>18478</xdr:rowOff>
    </xdr:from>
    <xdr:to>
      <xdr:col>34</xdr:col>
      <xdr:colOff>440304</xdr:colOff>
      <xdr:row>26</xdr:row>
      <xdr:rowOff>231934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ACD8DB-9219-460A-AD62-38A0CF3AA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1160963</xdr:colOff>
      <xdr:row>18</xdr:row>
      <xdr:rowOff>103415</xdr:rowOff>
    </xdr:from>
    <xdr:to>
      <xdr:col>50</xdr:col>
      <xdr:colOff>578849</xdr:colOff>
      <xdr:row>27</xdr:row>
      <xdr:rowOff>5443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638E155-9A7F-4072-B8E8-2020A3BDC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149134</xdr:colOff>
      <xdr:row>40</xdr:row>
      <xdr:rowOff>186962</xdr:rowOff>
    </xdr:from>
    <xdr:to>
      <xdr:col>51</xdr:col>
      <xdr:colOff>110836</xdr:colOff>
      <xdr:row>61</xdr:row>
      <xdr:rowOff>277091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328B93-2D36-4D58-8931-306F9A6A4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110836</xdr:colOff>
      <xdr:row>41</xdr:row>
      <xdr:rowOff>83126</xdr:rowOff>
    </xdr:from>
    <xdr:to>
      <xdr:col>15</xdr:col>
      <xdr:colOff>41563</xdr:colOff>
      <xdr:row>67</xdr:row>
      <xdr:rowOff>133349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60A8147-A3CB-413C-B15E-F04627FD3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246C-FCC8-4A11-AC13-159D830568EF}">
  <dimension ref="B2:AY40"/>
  <sheetViews>
    <sheetView tabSelected="1" topLeftCell="A34" zoomScale="70" zoomScaleNormal="70" workbookViewId="0">
      <selection activeCell="D32" sqref="D32"/>
    </sheetView>
  </sheetViews>
  <sheetFormatPr defaultColWidth="13" defaultRowHeight="24.75" customHeight="1" x14ac:dyDescent="0.45"/>
  <cols>
    <col min="1" max="1" width="5.19921875" style="1" customWidth="1"/>
    <col min="2" max="2" width="31.3984375" style="1" customWidth="1"/>
    <col min="3" max="4" width="12.8984375" style="1" customWidth="1"/>
    <col min="5" max="36" width="13" style="1"/>
    <col min="37" max="37" width="5.19921875" style="1" customWidth="1"/>
    <col min="38" max="38" width="27.69921875" style="1" customWidth="1"/>
    <col min="39" max="16384" width="13" style="1"/>
  </cols>
  <sheetData>
    <row r="2" spans="2:51" ht="24.75" customHeight="1" x14ac:dyDescent="0.45">
      <c r="B2" s="1" t="s">
        <v>65</v>
      </c>
      <c r="AL2" s="1" t="s">
        <v>18</v>
      </c>
    </row>
    <row r="3" spans="2:51" ht="24.75" customHeight="1" x14ac:dyDescent="0.45">
      <c r="C3" s="35" t="s">
        <v>44</v>
      </c>
      <c r="D3" s="35">
        <v>1.64</v>
      </c>
      <c r="E3" s="35">
        <v>1.64</v>
      </c>
      <c r="F3" s="35">
        <v>1.45</v>
      </c>
      <c r="G3" s="35">
        <v>1.45</v>
      </c>
      <c r="H3" s="35">
        <v>1.45</v>
      </c>
      <c r="I3" s="35">
        <v>1.45</v>
      </c>
      <c r="J3" s="1">
        <v>6.17</v>
      </c>
      <c r="O3" s="1">
        <v>6.06</v>
      </c>
      <c r="T3" s="1">
        <v>5.47</v>
      </c>
      <c r="Y3" s="1">
        <v>5.19</v>
      </c>
      <c r="AD3" s="1">
        <v>4.6500000000000004</v>
      </c>
      <c r="AI3" s="1">
        <v>4.1900000000000004</v>
      </c>
    </row>
    <row r="4" spans="2:51" ht="24.75" customHeight="1" x14ac:dyDescent="0.45">
      <c r="C4" s="35" t="s">
        <v>42</v>
      </c>
      <c r="D4" s="35">
        <f t="shared" ref="D4:F5" si="0">(C9-D9)*150000/100000000</f>
        <v>1.6395</v>
      </c>
      <c r="E4" s="35">
        <f t="shared" si="0"/>
        <v>1.6439999999999999</v>
      </c>
      <c r="F4" s="35">
        <f>(E9-F9)*150000/100000000</f>
        <v>0.78929999999999567</v>
      </c>
      <c r="G4" s="35">
        <f>(F9-G9)*150000/100000000</f>
        <v>0.78930000000000655</v>
      </c>
      <c r="H4" s="35">
        <f>(G9-H9)*150000/100000000</f>
        <v>0.78929999999999567</v>
      </c>
      <c r="I4" s="35">
        <f>(H9-I9)*150000/100000000</f>
        <v>0.78930000000000655</v>
      </c>
      <c r="J4" s="35">
        <f>(E9-J9)*150000/100000000</f>
        <v>3.9464999999999999</v>
      </c>
      <c r="O4" s="35">
        <f>(J9-O9)*150000/100000000</f>
        <v>4.8899999999999997</v>
      </c>
      <c r="T4" s="35">
        <f>(O9-T9)*150000/100000000</f>
        <v>4.3034999999999997</v>
      </c>
      <c r="Y4" s="35">
        <f>(T9-Y9)*150000/100000000</f>
        <v>4.0575000000000001</v>
      </c>
      <c r="AD4" s="35">
        <f>(Y9-AD9)*150000/100000000</f>
        <v>3.3839999999999999</v>
      </c>
      <c r="AI4" s="35">
        <f>(AD9-AI9)*150000/100000000</f>
        <v>2.9895</v>
      </c>
    </row>
    <row r="5" spans="2:51" ht="24.75" customHeight="1" x14ac:dyDescent="0.45">
      <c r="C5" s="35" t="s">
        <v>43</v>
      </c>
      <c r="D5" s="35">
        <f t="shared" si="0"/>
        <v>1.6395</v>
      </c>
      <c r="E5" s="35">
        <f t="shared" si="0"/>
        <v>1.6439999999999999</v>
      </c>
      <c r="F5" s="35">
        <f t="shared" si="0"/>
        <v>1.679100000000002</v>
      </c>
      <c r="G5" s="35">
        <f t="shared" ref="G5:H5" si="1">(F10-G10)*150000/100000000</f>
        <v>1.679100000000002</v>
      </c>
      <c r="H5" s="35">
        <f t="shared" si="1"/>
        <v>1.6790999999999914</v>
      </c>
      <c r="I5" s="35">
        <f>(H10-I10)*150000/100000000</f>
        <v>1.679100000000002</v>
      </c>
      <c r="J5" s="35">
        <f>(E10-J10)*150000/100000000</f>
        <v>8.3955000000000002</v>
      </c>
      <c r="O5" s="35">
        <f>(J10-O10)*150000/100000000</f>
        <v>7.2240000000000002</v>
      </c>
      <c r="T5" s="35">
        <f>(O10-T10)*150000/100000000</f>
        <v>6.6360000000000001</v>
      </c>
      <c r="Y5" s="35">
        <f>(T10-Y10)*150000/100000000</f>
        <v>6.327</v>
      </c>
      <c r="AD5" s="35">
        <f>(Y10-AD10)*150000/100000000</f>
        <v>5.9160000000000004</v>
      </c>
      <c r="AI5" s="35">
        <f>(AD10-AI10)*150000/100000000</f>
        <v>5.3864999999999998</v>
      </c>
    </row>
    <row r="6" spans="2:51" ht="24.75" customHeight="1" thickBot="1" x14ac:dyDescent="0.5">
      <c r="E6" s="25" t="s">
        <v>41</v>
      </c>
      <c r="F6" s="1" t="s">
        <v>40</v>
      </c>
    </row>
    <row r="7" spans="2:51" ht="24.75" customHeight="1" thickBot="1" x14ac:dyDescent="0.5">
      <c r="B7" s="6"/>
      <c r="C7" s="7" t="s">
        <v>3</v>
      </c>
      <c r="D7" s="8" t="s">
        <v>4</v>
      </c>
      <c r="E7" s="14" t="s">
        <v>5</v>
      </c>
      <c r="F7" s="11" t="s">
        <v>6</v>
      </c>
      <c r="G7" s="7" t="s">
        <v>7</v>
      </c>
      <c r="H7" s="7" t="s">
        <v>8</v>
      </c>
      <c r="I7" s="8" t="s">
        <v>9</v>
      </c>
      <c r="J7" s="14" t="s">
        <v>10</v>
      </c>
      <c r="K7" s="11" t="s">
        <v>11</v>
      </c>
      <c r="L7" s="7" t="s">
        <v>12</v>
      </c>
      <c r="M7" s="7" t="s">
        <v>13</v>
      </c>
      <c r="N7" s="8" t="s">
        <v>14</v>
      </c>
      <c r="O7" s="14" t="s">
        <v>19</v>
      </c>
      <c r="P7" s="26" t="s">
        <v>20</v>
      </c>
      <c r="Q7" s="7" t="s">
        <v>21</v>
      </c>
      <c r="R7" s="8" t="s">
        <v>22</v>
      </c>
      <c r="S7" s="8" t="s">
        <v>23</v>
      </c>
      <c r="T7" s="14" t="s">
        <v>24</v>
      </c>
      <c r="U7" s="11" t="s">
        <v>25</v>
      </c>
      <c r="V7" s="8" t="s">
        <v>26</v>
      </c>
      <c r="W7" s="7" t="s">
        <v>27</v>
      </c>
      <c r="X7" s="8" t="s">
        <v>28</v>
      </c>
      <c r="Y7" s="14" t="s">
        <v>29</v>
      </c>
      <c r="Z7" s="26" t="s">
        <v>30</v>
      </c>
      <c r="AA7" s="7" t="s">
        <v>31</v>
      </c>
      <c r="AB7" s="8" t="s">
        <v>32</v>
      </c>
      <c r="AC7" s="8" t="s">
        <v>33</v>
      </c>
      <c r="AD7" s="14" t="s">
        <v>34</v>
      </c>
      <c r="AE7" s="11" t="s">
        <v>35</v>
      </c>
      <c r="AF7" s="8" t="s">
        <v>36</v>
      </c>
      <c r="AG7" s="7" t="s">
        <v>37</v>
      </c>
      <c r="AH7" s="8" t="s">
        <v>38</v>
      </c>
      <c r="AI7" s="14" t="s">
        <v>39</v>
      </c>
      <c r="AL7" s="18"/>
      <c r="AM7" s="7" t="s">
        <v>3</v>
      </c>
      <c r="AN7" s="8" t="s">
        <v>4</v>
      </c>
      <c r="AO7" s="14" t="s">
        <v>5</v>
      </c>
      <c r="AP7" s="11" t="s">
        <v>6</v>
      </c>
      <c r="AQ7" s="7" t="s">
        <v>7</v>
      </c>
      <c r="AR7" s="7" t="s">
        <v>8</v>
      </c>
      <c r="AS7" s="7" t="s">
        <v>9</v>
      </c>
      <c r="AT7" s="7" t="s">
        <v>10</v>
      </c>
      <c r="AU7" s="7" t="s">
        <v>11</v>
      </c>
      <c r="AV7" s="7" t="s">
        <v>12</v>
      </c>
      <c r="AW7" s="7" t="s">
        <v>13</v>
      </c>
      <c r="AX7" s="8" t="s">
        <v>14</v>
      </c>
      <c r="AY7" s="14" t="s">
        <v>15</v>
      </c>
    </row>
    <row r="8" spans="2:51" ht="24.75" customHeight="1" thickTop="1" x14ac:dyDescent="0.45">
      <c r="B8" s="4" t="s">
        <v>68</v>
      </c>
      <c r="C8" s="30"/>
      <c r="D8" s="31"/>
      <c r="E8" s="32"/>
      <c r="F8" s="34"/>
      <c r="G8" s="5"/>
      <c r="H8" s="5"/>
      <c r="I8" s="9"/>
      <c r="J8" s="15"/>
      <c r="K8" s="12"/>
      <c r="L8" s="5"/>
      <c r="M8" s="5"/>
      <c r="N8" s="9"/>
      <c r="O8" s="36"/>
      <c r="P8" s="12"/>
      <c r="Q8" s="5"/>
      <c r="R8" s="5"/>
      <c r="S8" s="9"/>
      <c r="T8" s="15"/>
      <c r="U8" s="12"/>
      <c r="V8" s="5"/>
      <c r="W8" s="5"/>
      <c r="X8" s="9"/>
      <c r="Y8" s="15"/>
      <c r="Z8" s="12"/>
      <c r="AA8" s="5"/>
      <c r="AB8" s="5"/>
      <c r="AC8" s="9"/>
      <c r="AD8" s="15"/>
      <c r="AE8" s="12"/>
      <c r="AF8" s="5"/>
      <c r="AG8" s="5"/>
      <c r="AH8" s="9"/>
      <c r="AI8" s="15"/>
      <c r="AL8" s="4"/>
      <c r="AM8" s="5"/>
      <c r="AN8" s="9"/>
      <c r="AO8" s="15"/>
      <c r="AP8" s="12"/>
      <c r="AQ8" s="5"/>
      <c r="AR8" s="5"/>
      <c r="AS8" s="5"/>
      <c r="AT8" s="5"/>
      <c r="AU8" s="5"/>
      <c r="AV8" s="5"/>
      <c r="AW8" s="5"/>
      <c r="AX8" s="9"/>
      <c r="AY8" s="15"/>
    </row>
    <row r="9" spans="2:51" ht="24.75" customHeight="1" x14ac:dyDescent="0.45">
      <c r="B9" s="4" t="s">
        <v>45</v>
      </c>
      <c r="C9" s="30">
        <v>54656</v>
      </c>
      <c r="D9" s="31">
        <v>53563</v>
      </c>
      <c r="E9" s="32">
        <v>52467</v>
      </c>
      <c r="F9" s="33">
        <f>$E$9-($E$9-$J$9)/5*1</f>
        <v>51940.800000000003</v>
      </c>
      <c r="G9" s="33">
        <f>$E$9-($E$9-$J$9)/5*2</f>
        <v>51414.6</v>
      </c>
      <c r="H9" s="33">
        <f>$E$9-($E$9-$J$9)/5*3</f>
        <v>50888.4</v>
      </c>
      <c r="I9" s="34">
        <f>$E$9-($E$9-$J$9)/5*4</f>
        <v>50362.2</v>
      </c>
      <c r="J9" s="15">
        <v>49836</v>
      </c>
      <c r="K9" s="12"/>
      <c r="L9" s="5"/>
      <c r="M9" s="5"/>
      <c r="N9" s="9"/>
      <c r="O9" s="36">
        <v>46576</v>
      </c>
      <c r="P9" s="12"/>
      <c r="Q9" s="5"/>
      <c r="R9" s="5"/>
      <c r="S9" s="9"/>
      <c r="T9" s="15">
        <v>43707</v>
      </c>
      <c r="U9" s="12"/>
      <c r="V9" s="5"/>
      <c r="W9" s="5"/>
      <c r="X9" s="9"/>
      <c r="Y9" s="15">
        <v>41002</v>
      </c>
      <c r="Z9" s="12"/>
      <c r="AA9" s="5"/>
      <c r="AB9" s="5"/>
      <c r="AC9" s="9"/>
      <c r="AD9" s="15">
        <v>38746</v>
      </c>
      <c r="AE9" s="12"/>
      <c r="AF9" s="5"/>
      <c r="AG9" s="5"/>
      <c r="AH9" s="9"/>
      <c r="AI9" s="15">
        <v>36753</v>
      </c>
      <c r="AL9" s="4"/>
      <c r="AM9" s="5"/>
      <c r="AN9" s="9"/>
      <c r="AO9" s="15"/>
      <c r="AP9" s="12"/>
      <c r="AQ9" s="5"/>
      <c r="AR9" s="5"/>
      <c r="AS9" s="5"/>
      <c r="AT9" s="5"/>
      <c r="AU9" s="5"/>
      <c r="AV9" s="5"/>
      <c r="AW9" s="5"/>
      <c r="AX9" s="9"/>
      <c r="AY9" s="15"/>
    </row>
    <row r="10" spans="2:51" ht="24.75" customHeight="1" x14ac:dyDescent="0.45">
      <c r="B10" s="4" t="s">
        <v>46</v>
      </c>
      <c r="C10" s="30">
        <v>54656</v>
      </c>
      <c r="D10" s="31">
        <v>53563</v>
      </c>
      <c r="E10" s="32">
        <v>52467</v>
      </c>
      <c r="F10" s="33">
        <f>$E$10-($E$10-$J$10)/5*1</f>
        <v>51347.6</v>
      </c>
      <c r="G10" s="33">
        <f>$E$10-($E$10-$J$10)/5*2</f>
        <v>50228.2</v>
      </c>
      <c r="H10" s="5">
        <f>$E$10-($E$10-$J$10)/5*3</f>
        <v>49108.800000000003</v>
      </c>
      <c r="I10" s="9">
        <f>$E$10-($E$10-$J$10)/5*4</f>
        <v>47989.4</v>
      </c>
      <c r="J10" s="15">
        <v>46870</v>
      </c>
      <c r="K10" s="12"/>
      <c r="L10" s="5"/>
      <c r="M10" s="5"/>
      <c r="N10" s="9"/>
      <c r="O10" s="36">
        <v>42054</v>
      </c>
      <c r="P10" s="12"/>
      <c r="Q10" s="5"/>
      <c r="R10" s="5"/>
      <c r="S10" s="9"/>
      <c r="T10" s="15">
        <v>37630</v>
      </c>
      <c r="U10" s="12"/>
      <c r="V10" s="5"/>
      <c r="W10" s="5"/>
      <c r="X10" s="9"/>
      <c r="Y10" s="15">
        <v>33412</v>
      </c>
      <c r="Z10" s="12"/>
      <c r="AA10" s="5"/>
      <c r="AB10" s="5"/>
      <c r="AC10" s="9"/>
      <c r="AD10" s="15">
        <v>29468</v>
      </c>
      <c r="AE10" s="12"/>
      <c r="AF10" s="5"/>
      <c r="AG10" s="5"/>
      <c r="AH10" s="9"/>
      <c r="AI10" s="15">
        <v>25877</v>
      </c>
      <c r="AL10" s="4"/>
      <c r="AM10" s="5"/>
      <c r="AN10" s="9"/>
      <c r="AO10" s="15"/>
      <c r="AP10" s="12"/>
      <c r="AQ10" s="5"/>
      <c r="AR10" s="5"/>
      <c r="AS10" s="5"/>
      <c r="AT10" s="5"/>
      <c r="AU10" s="5"/>
      <c r="AV10" s="5"/>
      <c r="AW10" s="5"/>
      <c r="AX10" s="9"/>
      <c r="AY10" s="15"/>
    </row>
    <row r="11" spans="2:51" ht="24.75" customHeight="1" x14ac:dyDescent="0.45">
      <c r="B11" s="4" t="s">
        <v>47</v>
      </c>
      <c r="C11" s="30">
        <v>451</v>
      </c>
      <c r="D11" s="31">
        <v>430</v>
      </c>
      <c r="E11" s="32">
        <v>445</v>
      </c>
      <c r="F11" s="33">
        <v>455</v>
      </c>
      <c r="G11" s="33">
        <f>$F$11-($F$11-$J$11)/4*1</f>
        <v>450.95749999999998</v>
      </c>
      <c r="H11" s="33">
        <f>$F$11-($F$11-$J$11)/4*2</f>
        <v>446.91499999999996</v>
      </c>
      <c r="I11" s="34">
        <f>$F$11-($F$11-$J$11)/4*3</f>
        <v>442.8725</v>
      </c>
      <c r="J11" s="15">
        <f>E11-J3</f>
        <v>438.83</v>
      </c>
      <c r="K11" s="12"/>
      <c r="L11" s="5"/>
      <c r="M11" s="5"/>
      <c r="N11" s="9"/>
      <c r="O11" s="36">
        <f>J11-O3</f>
        <v>432.77</v>
      </c>
      <c r="P11" s="12"/>
      <c r="Q11" s="5"/>
      <c r="R11" s="5"/>
      <c r="S11" s="9"/>
      <c r="T11" s="15">
        <f>O11-T3</f>
        <v>427.29999999999995</v>
      </c>
      <c r="U11" s="12"/>
      <c r="V11" s="5"/>
      <c r="W11" s="5"/>
      <c r="X11" s="9"/>
      <c r="Y11" s="15">
        <f>T11-Y3</f>
        <v>422.10999999999996</v>
      </c>
      <c r="Z11" s="12"/>
      <c r="AA11" s="5"/>
      <c r="AB11" s="5"/>
      <c r="AC11" s="9"/>
      <c r="AD11" s="15">
        <f>Y11-AD3</f>
        <v>417.46</v>
      </c>
      <c r="AE11" s="12"/>
      <c r="AF11" s="5"/>
      <c r="AG11" s="5"/>
      <c r="AH11" s="9"/>
      <c r="AI11" s="15">
        <f>AD11-AI3</f>
        <v>413.27</v>
      </c>
      <c r="AL11" s="4"/>
      <c r="AM11" s="5"/>
      <c r="AN11" s="9"/>
      <c r="AO11" s="15"/>
      <c r="AP11" s="12"/>
      <c r="AQ11" s="5"/>
      <c r="AR11" s="5"/>
      <c r="AS11" s="5"/>
      <c r="AT11" s="5"/>
      <c r="AU11" s="5"/>
      <c r="AV11" s="5"/>
      <c r="AW11" s="5"/>
      <c r="AX11" s="9"/>
      <c r="AY11" s="15"/>
    </row>
    <row r="12" spans="2:51" ht="24.75" customHeight="1" x14ac:dyDescent="0.45">
      <c r="B12" s="4" t="s">
        <v>67</v>
      </c>
      <c r="C12" s="20">
        <v>504000</v>
      </c>
      <c r="D12" s="19">
        <v>498000</v>
      </c>
      <c r="E12" s="28">
        <v>254000</v>
      </c>
      <c r="F12" s="23">
        <v>269000</v>
      </c>
      <c r="G12" s="5">
        <v>400000</v>
      </c>
      <c r="H12" s="5">
        <v>500000</v>
      </c>
      <c r="I12" s="34">
        <v>514000</v>
      </c>
      <c r="J12" s="32">
        <v>529000</v>
      </c>
      <c r="K12" s="33">
        <v>543000</v>
      </c>
      <c r="L12" s="33">
        <v>557000</v>
      </c>
      <c r="M12" s="33">
        <v>571000</v>
      </c>
      <c r="N12" s="34">
        <v>586000</v>
      </c>
      <c r="O12" s="36">
        <v>600000</v>
      </c>
      <c r="P12" s="13">
        <v>600000</v>
      </c>
      <c r="Q12" s="3">
        <v>600000</v>
      </c>
      <c r="R12" s="3">
        <v>600000</v>
      </c>
      <c r="S12" s="10">
        <v>600000</v>
      </c>
      <c r="T12" s="16">
        <v>600000</v>
      </c>
      <c r="U12" s="13">
        <v>600000</v>
      </c>
      <c r="V12" s="3">
        <v>600000</v>
      </c>
      <c r="W12" s="3">
        <v>600000</v>
      </c>
      <c r="X12" s="10">
        <v>600000</v>
      </c>
      <c r="Y12" s="16">
        <v>600000</v>
      </c>
      <c r="Z12" s="13">
        <v>600000</v>
      </c>
      <c r="AA12" s="3">
        <v>600000</v>
      </c>
      <c r="AB12" s="3">
        <v>600000</v>
      </c>
      <c r="AC12" s="10">
        <v>600000</v>
      </c>
      <c r="AD12" s="16">
        <v>600000</v>
      </c>
      <c r="AE12" s="13">
        <v>600000</v>
      </c>
      <c r="AF12" s="3">
        <v>600000</v>
      </c>
      <c r="AG12" s="3">
        <v>600000</v>
      </c>
      <c r="AH12" s="10">
        <v>600000</v>
      </c>
      <c r="AI12" s="16">
        <v>600000</v>
      </c>
      <c r="AL12" s="4" t="s">
        <v>0</v>
      </c>
      <c r="AM12" s="5">
        <v>491000</v>
      </c>
      <c r="AN12" s="9">
        <v>490000</v>
      </c>
      <c r="AO12" s="15">
        <v>500000</v>
      </c>
      <c r="AP12" s="12">
        <f t="shared" ref="AP12:AY12" si="2">AO12+(AP16-AO16)*2</f>
        <v>509000</v>
      </c>
      <c r="AQ12" s="5">
        <f t="shared" si="2"/>
        <v>519350</v>
      </c>
      <c r="AR12" s="5">
        <f t="shared" si="2"/>
        <v>531252.5</v>
      </c>
      <c r="AS12" s="5">
        <f t="shared" si="2"/>
        <v>544940.375</v>
      </c>
      <c r="AT12" s="5">
        <f>AS12+(AT16-AS16)*2</f>
        <v>560681.43125000002</v>
      </c>
      <c r="AU12" s="5">
        <f t="shared" si="2"/>
        <v>578783.64593750006</v>
      </c>
      <c r="AV12" s="5">
        <f t="shared" si="2"/>
        <v>599601.19282812509</v>
      </c>
      <c r="AW12" s="5">
        <f t="shared" si="2"/>
        <v>623541.37175234384</v>
      </c>
      <c r="AX12" s="9">
        <f t="shared" si="2"/>
        <v>651072.57751519536</v>
      </c>
      <c r="AY12" s="15">
        <f t="shared" si="2"/>
        <v>682733.46414247458</v>
      </c>
    </row>
    <row r="13" spans="2:51" ht="24.75" customHeight="1" x14ac:dyDescent="0.45">
      <c r="B13" s="2" t="s">
        <v>48</v>
      </c>
      <c r="C13" s="22">
        <v>290656</v>
      </c>
      <c r="D13" s="21">
        <v>290233</v>
      </c>
      <c r="E13" s="29">
        <v>154353</v>
      </c>
      <c r="F13" s="24">
        <v>159000</v>
      </c>
      <c r="G13" s="3">
        <f>G12*0.6</f>
        <v>240000</v>
      </c>
      <c r="H13" s="3">
        <f>H12*0.6</f>
        <v>300000</v>
      </c>
      <c r="I13" s="10">
        <f>I12*0.6</f>
        <v>308400</v>
      </c>
      <c r="J13" s="16">
        <f>J12*0.6</f>
        <v>317400</v>
      </c>
      <c r="K13" s="13">
        <f>K12*0.6</f>
        <v>325800</v>
      </c>
      <c r="L13" s="3">
        <f t="shared" ref="L13:AH13" si="3">L12*0.6</f>
        <v>334200</v>
      </c>
      <c r="M13" s="3">
        <f t="shared" si="3"/>
        <v>342600</v>
      </c>
      <c r="N13" s="10">
        <f t="shared" si="3"/>
        <v>351600</v>
      </c>
      <c r="O13" s="37">
        <f>O12*0.6</f>
        <v>360000</v>
      </c>
      <c r="P13" s="27">
        <f t="shared" si="3"/>
        <v>360000</v>
      </c>
      <c r="Q13" s="3">
        <f t="shared" si="3"/>
        <v>360000</v>
      </c>
      <c r="R13" s="10">
        <f t="shared" si="3"/>
        <v>360000</v>
      </c>
      <c r="S13" s="10">
        <f t="shared" si="3"/>
        <v>360000</v>
      </c>
      <c r="T13" s="16">
        <f t="shared" si="3"/>
        <v>360000</v>
      </c>
      <c r="U13" s="13">
        <f t="shared" si="3"/>
        <v>360000</v>
      </c>
      <c r="V13" s="10">
        <f t="shared" si="3"/>
        <v>360000</v>
      </c>
      <c r="W13" s="3">
        <f t="shared" si="3"/>
        <v>360000</v>
      </c>
      <c r="X13" s="10">
        <f t="shared" si="3"/>
        <v>360000</v>
      </c>
      <c r="Y13" s="16">
        <f>Y12*0.6</f>
        <v>360000</v>
      </c>
      <c r="Z13" s="27">
        <f t="shared" si="3"/>
        <v>360000</v>
      </c>
      <c r="AA13" s="3">
        <f t="shared" si="3"/>
        <v>360000</v>
      </c>
      <c r="AB13" s="10">
        <f t="shared" si="3"/>
        <v>360000</v>
      </c>
      <c r="AC13" s="10">
        <f t="shared" si="3"/>
        <v>360000</v>
      </c>
      <c r="AD13" s="16">
        <f t="shared" si="3"/>
        <v>360000</v>
      </c>
      <c r="AE13" s="13">
        <f t="shared" si="3"/>
        <v>360000</v>
      </c>
      <c r="AF13" s="10">
        <f t="shared" si="3"/>
        <v>360000</v>
      </c>
      <c r="AG13" s="3">
        <f t="shared" si="3"/>
        <v>360000</v>
      </c>
      <c r="AH13" s="10">
        <f t="shared" si="3"/>
        <v>360000</v>
      </c>
      <c r="AI13" s="16">
        <f>AI12*0.6</f>
        <v>360000</v>
      </c>
      <c r="AL13" s="2" t="s">
        <v>16</v>
      </c>
      <c r="AM13" s="3">
        <f>AM17*1.93</f>
        <v>289500</v>
      </c>
      <c r="AN13" s="10">
        <f>AN17*1.83</f>
        <v>274500</v>
      </c>
      <c r="AO13" s="16">
        <f>AO17*1.73</f>
        <v>328700</v>
      </c>
      <c r="AP13" s="13">
        <f>AP17*1.53</f>
        <v>459000</v>
      </c>
      <c r="AQ13" s="3">
        <f>AQ17*1.43</f>
        <v>493350</v>
      </c>
      <c r="AR13" s="3">
        <f>AR17*1.33</f>
        <v>527677.5</v>
      </c>
      <c r="AS13" s="3">
        <f>AS17*1.13</f>
        <v>515576.62499999994</v>
      </c>
      <c r="AT13" s="3">
        <f>AT17*1.05</f>
        <v>550936.96874999988</v>
      </c>
      <c r="AU13" s="3">
        <f>AU17*1.02</f>
        <v>615475.29937499994</v>
      </c>
      <c r="AV13" s="3">
        <f>AV17*1.01</f>
        <v>700857.41198437486</v>
      </c>
      <c r="AW13" s="3">
        <f>AW17*1.005</f>
        <v>801995.99396132783</v>
      </c>
      <c r="AX13" s="10">
        <f>AX17*1.002</f>
        <v>919542.27247924171</v>
      </c>
      <c r="AY13" s="16">
        <f>AY17*1.0001</f>
        <v>1213788.6874444433</v>
      </c>
    </row>
    <row r="14" spans="2:51" ht="24.75" customHeight="1" x14ac:dyDescent="0.45">
      <c r="B14" s="2" t="s">
        <v>52</v>
      </c>
      <c r="C14" s="22">
        <v>26000</v>
      </c>
      <c r="D14" s="21">
        <v>14584</v>
      </c>
      <c r="E14" s="29">
        <v>1128</v>
      </c>
      <c r="F14" s="24">
        <v>300</v>
      </c>
      <c r="G14" s="3">
        <v>10000</v>
      </c>
      <c r="H14" s="3">
        <v>15000</v>
      </c>
      <c r="I14" s="10">
        <v>20000</v>
      </c>
      <c r="J14" s="16">
        <v>25000</v>
      </c>
      <c r="K14" s="13">
        <v>30000</v>
      </c>
      <c r="L14" s="3">
        <v>35000</v>
      </c>
      <c r="M14" s="3">
        <v>40000</v>
      </c>
      <c r="N14" s="10">
        <v>45000</v>
      </c>
      <c r="O14" s="37">
        <v>50000</v>
      </c>
      <c r="P14" s="13">
        <v>50000</v>
      </c>
      <c r="Q14" s="3">
        <v>50000</v>
      </c>
      <c r="R14" s="3">
        <v>50000</v>
      </c>
      <c r="S14" s="10">
        <v>50000</v>
      </c>
      <c r="T14" s="16">
        <v>50000</v>
      </c>
      <c r="U14" s="13">
        <v>50000</v>
      </c>
      <c r="V14" s="3">
        <v>50000</v>
      </c>
      <c r="W14" s="3">
        <v>50000</v>
      </c>
      <c r="X14" s="10">
        <v>50000</v>
      </c>
      <c r="Y14" s="16">
        <v>50000</v>
      </c>
      <c r="Z14" s="13">
        <v>50000</v>
      </c>
      <c r="AA14" s="3">
        <v>50000</v>
      </c>
      <c r="AB14" s="3">
        <v>50000</v>
      </c>
      <c r="AC14" s="10">
        <v>50000</v>
      </c>
      <c r="AD14" s="16">
        <v>50000</v>
      </c>
      <c r="AE14" s="13">
        <v>50000</v>
      </c>
      <c r="AF14" s="3">
        <v>50000</v>
      </c>
      <c r="AG14" s="3">
        <v>50000</v>
      </c>
      <c r="AH14" s="10">
        <v>50000</v>
      </c>
      <c r="AI14" s="16">
        <v>50000</v>
      </c>
      <c r="AL14" s="2" t="s">
        <v>53</v>
      </c>
      <c r="AM14" s="3">
        <v>26000</v>
      </c>
      <c r="AN14" s="10">
        <v>28000</v>
      </c>
      <c r="AO14" s="16">
        <f>AN14+(AO12-AN12)*1.2</f>
        <v>40000</v>
      </c>
      <c r="AP14" s="13">
        <f>AO14+(AP12-AO12)*1.3</f>
        <v>51700</v>
      </c>
      <c r="AQ14" s="3">
        <f>AP14+(AQ12-AP12)*1.4</f>
        <v>66190</v>
      </c>
      <c r="AR14" s="3">
        <f>AQ14+(AR12-AQ12)*1.5</f>
        <v>84043.75</v>
      </c>
      <c r="AS14" s="3">
        <f>AR14+(AS12-AR12)*1.6</f>
        <v>105944.35</v>
      </c>
      <c r="AT14" s="3">
        <f>AS14+(AT12-AS12)*1.7</f>
        <v>132704.14562500003</v>
      </c>
      <c r="AU14" s="3">
        <f>AT14+(AU12-AT12)*1.8</f>
        <v>165288.13206250008</v>
      </c>
      <c r="AV14" s="3">
        <f>AU14+(AV12-AU12)*1.9</f>
        <v>204841.47115468764</v>
      </c>
      <c r="AW14" s="3">
        <f>AV14+(AW12-AV12)*2</f>
        <v>252721.82900312514</v>
      </c>
      <c r="AX14" s="10">
        <f>AW14+(AX12-AW12)*2.5</f>
        <v>321549.84341025393</v>
      </c>
      <c r="AY14" s="16">
        <f>AX14+(AY12-AX12)*3</f>
        <v>416532.5032920916</v>
      </c>
    </row>
    <row r="15" spans="2:51" ht="24.75" customHeight="1" x14ac:dyDescent="0.45">
      <c r="B15" s="2" t="s">
        <v>51</v>
      </c>
      <c r="C15" s="22">
        <v>1480352</v>
      </c>
      <c r="D15" s="21">
        <v>1466681</v>
      </c>
      <c r="E15" s="29">
        <v>760342</v>
      </c>
      <c r="F15" s="24">
        <v>768000</v>
      </c>
      <c r="G15" s="3">
        <f>G12*2.5</f>
        <v>1000000</v>
      </c>
      <c r="H15" s="3">
        <f t="shared" ref="H15:O15" si="4">H12*2.5</f>
        <v>1250000</v>
      </c>
      <c r="I15" s="10">
        <f t="shared" si="4"/>
        <v>1285000</v>
      </c>
      <c r="J15" s="16">
        <f t="shared" si="4"/>
        <v>1322500</v>
      </c>
      <c r="K15" s="13">
        <f t="shared" si="4"/>
        <v>1357500</v>
      </c>
      <c r="L15" s="3">
        <f t="shared" si="4"/>
        <v>1392500</v>
      </c>
      <c r="M15" s="3">
        <f t="shared" si="4"/>
        <v>1427500</v>
      </c>
      <c r="N15" s="10">
        <f t="shared" si="4"/>
        <v>1465000</v>
      </c>
      <c r="O15" s="37">
        <f t="shared" si="4"/>
        <v>1500000</v>
      </c>
      <c r="P15" s="13">
        <f t="shared" ref="P15:AI15" si="5">1400000+100000</f>
        <v>1500000</v>
      </c>
      <c r="Q15" s="3">
        <f t="shared" si="5"/>
        <v>1500000</v>
      </c>
      <c r="R15" s="3">
        <f t="shared" si="5"/>
        <v>1500000</v>
      </c>
      <c r="S15" s="10">
        <f t="shared" si="5"/>
        <v>1500000</v>
      </c>
      <c r="T15" s="16">
        <f t="shared" si="5"/>
        <v>1500000</v>
      </c>
      <c r="U15" s="13">
        <f t="shared" si="5"/>
        <v>1500000</v>
      </c>
      <c r="V15" s="3">
        <f t="shared" si="5"/>
        <v>1500000</v>
      </c>
      <c r="W15" s="3">
        <f t="shared" si="5"/>
        <v>1500000</v>
      </c>
      <c r="X15" s="10">
        <f t="shared" si="5"/>
        <v>1500000</v>
      </c>
      <c r="Y15" s="16">
        <f t="shared" si="5"/>
        <v>1500000</v>
      </c>
      <c r="Z15" s="13">
        <f t="shared" si="5"/>
        <v>1500000</v>
      </c>
      <c r="AA15" s="3">
        <f t="shared" si="5"/>
        <v>1500000</v>
      </c>
      <c r="AB15" s="3">
        <f t="shared" si="5"/>
        <v>1500000</v>
      </c>
      <c r="AC15" s="10">
        <f t="shared" si="5"/>
        <v>1500000</v>
      </c>
      <c r="AD15" s="16">
        <f t="shared" si="5"/>
        <v>1500000</v>
      </c>
      <c r="AE15" s="13">
        <f t="shared" si="5"/>
        <v>1500000</v>
      </c>
      <c r="AF15" s="3">
        <f t="shared" si="5"/>
        <v>1500000</v>
      </c>
      <c r="AG15" s="3">
        <f t="shared" si="5"/>
        <v>1500000</v>
      </c>
      <c r="AH15" s="10">
        <f t="shared" si="5"/>
        <v>1500000</v>
      </c>
      <c r="AI15" s="16">
        <f t="shared" si="5"/>
        <v>1500000</v>
      </c>
      <c r="AL15" s="2" t="s">
        <v>1</v>
      </c>
      <c r="AM15" s="3">
        <v>1480352</v>
      </c>
      <c r="AN15" s="10">
        <f>AN12*3</f>
        <v>1470000</v>
      </c>
      <c r="AO15" s="16">
        <v>1480000</v>
      </c>
      <c r="AP15" s="13">
        <f t="shared" ref="AP15:AY15" si="6">AO15+(AP16-AO16)*2</f>
        <v>1489000</v>
      </c>
      <c r="AQ15" s="3">
        <f t="shared" si="6"/>
        <v>1499350</v>
      </c>
      <c r="AR15" s="3">
        <f t="shared" si="6"/>
        <v>1511252.5</v>
      </c>
      <c r="AS15" s="3">
        <f t="shared" si="6"/>
        <v>1524940.375</v>
      </c>
      <c r="AT15" s="3">
        <f t="shared" si="6"/>
        <v>1540681.4312499999</v>
      </c>
      <c r="AU15" s="3">
        <f t="shared" si="6"/>
        <v>1558783.6459374998</v>
      </c>
      <c r="AV15" s="3">
        <f t="shared" si="6"/>
        <v>1579601.1928281249</v>
      </c>
      <c r="AW15" s="3">
        <f t="shared" si="6"/>
        <v>1603541.3717523436</v>
      </c>
      <c r="AX15" s="10">
        <f t="shared" si="6"/>
        <v>1631072.5775151951</v>
      </c>
      <c r="AY15" s="16">
        <f t="shared" si="6"/>
        <v>1662733.4641424743</v>
      </c>
    </row>
    <row r="16" spans="2:51" ht="24.75" customHeight="1" x14ac:dyDescent="0.45">
      <c r="B16" s="2" t="s">
        <v>49</v>
      </c>
      <c r="C16" s="22">
        <v>15496</v>
      </c>
      <c r="D16" s="21">
        <v>19033</v>
      </c>
      <c r="E16" s="29">
        <v>36106</v>
      </c>
      <c r="F16" s="24">
        <v>48000</v>
      </c>
      <c r="G16" s="3">
        <v>60000</v>
      </c>
      <c r="H16" s="3">
        <v>65000</v>
      </c>
      <c r="I16" s="10">
        <v>70000</v>
      </c>
      <c r="J16" s="16">
        <v>75000</v>
      </c>
      <c r="K16" s="13">
        <v>80000</v>
      </c>
      <c r="L16" s="3">
        <v>85000</v>
      </c>
      <c r="M16" s="3">
        <v>90000</v>
      </c>
      <c r="N16" s="10">
        <v>95000</v>
      </c>
      <c r="O16" s="37">
        <v>100000</v>
      </c>
      <c r="P16" s="13">
        <v>100000</v>
      </c>
      <c r="Q16" s="3">
        <v>100000</v>
      </c>
      <c r="R16" s="3">
        <v>100000</v>
      </c>
      <c r="S16" s="10">
        <v>100000</v>
      </c>
      <c r="T16" s="16">
        <v>100000</v>
      </c>
      <c r="U16" s="13">
        <v>100000</v>
      </c>
      <c r="V16" s="3">
        <v>100000</v>
      </c>
      <c r="W16" s="3">
        <v>100000</v>
      </c>
      <c r="X16" s="10">
        <v>100000</v>
      </c>
      <c r="Y16" s="16">
        <v>100000</v>
      </c>
      <c r="Z16" s="13">
        <v>100000</v>
      </c>
      <c r="AA16" s="3">
        <v>100000</v>
      </c>
      <c r="AB16" s="3">
        <v>100000</v>
      </c>
      <c r="AC16" s="10">
        <v>100000</v>
      </c>
      <c r="AD16" s="16">
        <v>100000</v>
      </c>
      <c r="AE16" s="13">
        <v>100000</v>
      </c>
      <c r="AF16" s="3">
        <v>100000</v>
      </c>
      <c r="AG16" s="3">
        <v>100000</v>
      </c>
      <c r="AH16" s="10">
        <v>100000</v>
      </c>
      <c r="AI16" s="16">
        <v>100000</v>
      </c>
      <c r="AL16" s="2" t="s">
        <v>2</v>
      </c>
      <c r="AM16" s="3">
        <v>15000</v>
      </c>
      <c r="AN16" s="10">
        <v>19000</v>
      </c>
      <c r="AO16" s="16">
        <v>30000</v>
      </c>
      <c r="AP16" s="13">
        <f>AO16*1.15</f>
        <v>34500</v>
      </c>
      <c r="AQ16" s="3">
        <f t="shared" ref="AQ16:AW16" si="7">AP16*1.15</f>
        <v>39675</v>
      </c>
      <c r="AR16" s="3">
        <f t="shared" si="7"/>
        <v>45626.25</v>
      </c>
      <c r="AS16" s="3">
        <f t="shared" si="7"/>
        <v>52470.187499999993</v>
      </c>
      <c r="AT16" s="3">
        <f t="shared" si="7"/>
        <v>60340.71562499999</v>
      </c>
      <c r="AU16" s="3">
        <f t="shared" si="7"/>
        <v>69391.822968749984</v>
      </c>
      <c r="AV16" s="3">
        <f t="shared" si="7"/>
        <v>79800.596414062471</v>
      </c>
      <c r="AW16" s="3">
        <f t="shared" si="7"/>
        <v>91770.685876171832</v>
      </c>
      <c r="AX16" s="10">
        <f>AW16*1.15</f>
        <v>105536.28875759761</v>
      </c>
      <c r="AY16" s="16">
        <f>AX16*1.15</f>
        <v>121366.73207123723</v>
      </c>
    </row>
    <row r="17" spans="2:51" ht="24.75" customHeight="1" thickBot="1" x14ac:dyDescent="0.5">
      <c r="B17" s="2" t="s">
        <v>50</v>
      </c>
      <c r="C17" s="3">
        <f>C16*10</f>
        <v>154960</v>
      </c>
      <c r="D17" s="10">
        <f t="shared" ref="D17:M17" si="8">D16*10</f>
        <v>190330</v>
      </c>
      <c r="E17" s="17">
        <f>E16*10</f>
        <v>361060</v>
      </c>
      <c r="F17" s="13">
        <f t="shared" si="8"/>
        <v>480000</v>
      </c>
      <c r="G17" s="3">
        <f t="shared" si="8"/>
        <v>600000</v>
      </c>
      <c r="H17" s="3">
        <f t="shared" si="8"/>
        <v>650000</v>
      </c>
      <c r="I17" s="10">
        <f t="shared" si="8"/>
        <v>700000</v>
      </c>
      <c r="J17" s="17">
        <f>J16*10</f>
        <v>750000</v>
      </c>
      <c r="K17" s="13">
        <f t="shared" si="8"/>
        <v>800000</v>
      </c>
      <c r="L17" s="3">
        <f t="shared" si="8"/>
        <v>850000</v>
      </c>
      <c r="M17" s="3">
        <f t="shared" si="8"/>
        <v>900000</v>
      </c>
      <c r="N17" s="10">
        <f t="shared" ref="N17:AD17" si="9">N16*10</f>
        <v>950000</v>
      </c>
      <c r="O17" s="38">
        <f>O16*10</f>
        <v>1000000</v>
      </c>
      <c r="P17" s="27">
        <f t="shared" ref="P17:Y17" si="10">P16*10</f>
        <v>1000000</v>
      </c>
      <c r="Q17" s="10">
        <f t="shared" si="10"/>
        <v>1000000</v>
      </c>
      <c r="R17" s="10">
        <f t="shared" si="10"/>
        <v>1000000</v>
      </c>
      <c r="S17" s="10">
        <f t="shared" si="10"/>
        <v>1000000</v>
      </c>
      <c r="T17" s="17">
        <f t="shared" ref="T17:X17" si="11">T16*10</f>
        <v>1000000</v>
      </c>
      <c r="U17" s="27">
        <f t="shared" si="11"/>
        <v>1000000</v>
      </c>
      <c r="V17" s="10">
        <f t="shared" si="11"/>
        <v>1000000</v>
      </c>
      <c r="W17" s="10">
        <f t="shared" si="11"/>
        <v>1000000</v>
      </c>
      <c r="X17" s="10">
        <f t="shared" si="11"/>
        <v>1000000</v>
      </c>
      <c r="Y17" s="17">
        <f t="shared" si="10"/>
        <v>1000000</v>
      </c>
      <c r="Z17" s="27">
        <f t="shared" si="9"/>
        <v>1000000</v>
      </c>
      <c r="AA17" s="10">
        <f t="shared" si="9"/>
        <v>1000000</v>
      </c>
      <c r="AB17" s="10">
        <f t="shared" si="9"/>
        <v>1000000</v>
      </c>
      <c r="AC17" s="10">
        <f t="shared" si="9"/>
        <v>1000000</v>
      </c>
      <c r="AD17" s="17">
        <f t="shared" si="9"/>
        <v>1000000</v>
      </c>
      <c r="AE17" s="27">
        <f t="shared" ref="AE17" si="12">AE16*10</f>
        <v>1000000</v>
      </c>
      <c r="AF17" s="10">
        <f t="shared" ref="AF17:AG17" si="13">AF16*10</f>
        <v>1000000</v>
      </c>
      <c r="AG17" s="10">
        <f t="shared" si="13"/>
        <v>1000000</v>
      </c>
      <c r="AH17" s="10">
        <f t="shared" ref="AH17" si="14">AH16*10</f>
        <v>1000000</v>
      </c>
      <c r="AI17" s="17">
        <f>AI16*10</f>
        <v>1000000</v>
      </c>
      <c r="AL17" s="2" t="s">
        <v>17</v>
      </c>
      <c r="AM17" s="3">
        <f>AM16*10</f>
        <v>150000</v>
      </c>
      <c r="AN17" s="10">
        <f>AM16*10</f>
        <v>150000</v>
      </c>
      <c r="AO17" s="17">
        <f>AN16*10</f>
        <v>190000</v>
      </c>
      <c r="AP17" s="13">
        <f>AO16*10</f>
        <v>300000</v>
      </c>
      <c r="AQ17" s="3">
        <f t="shared" ref="AQ17" si="15">AP16*10</f>
        <v>345000</v>
      </c>
      <c r="AR17" s="3">
        <f t="shared" ref="AR17:AX17" si="16">AQ16*10</f>
        <v>396750</v>
      </c>
      <c r="AS17" s="3">
        <f t="shared" si="16"/>
        <v>456262.5</v>
      </c>
      <c r="AT17" s="3">
        <f t="shared" si="16"/>
        <v>524701.87499999988</v>
      </c>
      <c r="AU17" s="3">
        <f t="shared" si="16"/>
        <v>603407.15624999988</v>
      </c>
      <c r="AV17" s="3">
        <f t="shared" si="16"/>
        <v>693918.22968749981</v>
      </c>
      <c r="AW17" s="3">
        <f t="shared" si="16"/>
        <v>798005.96414062474</v>
      </c>
      <c r="AX17" s="10">
        <f t="shared" si="16"/>
        <v>917706.85876171826</v>
      </c>
      <c r="AY17" s="17">
        <f>AY16*10</f>
        <v>1213667.3207123722</v>
      </c>
    </row>
    <row r="29" spans="2:51" ht="22.2" customHeight="1" thickBot="1" x14ac:dyDescent="0.5">
      <c r="E29" s="25" t="s">
        <v>41</v>
      </c>
      <c r="F29" s="1" t="s">
        <v>40</v>
      </c>
    </row>
    <row r="30" spans="2:51" ht="22.2" customHeight="1" thickBot="1" x14ac:dyDescent="0.5">
      <c r="B30" s="6"/>
      <c r="C30" s="7" t="s">
        <v>3</v>
      </c>
      <c r="D30" s="8" t="s">
        <v>54</v>
      </c>
      <c r="E30" s="7" t="s">
        <v>55</v>
      </c>
      <c r="F30" s="11" t="s">
        <v>56</v>
      </c>
      <c r="G30" s="7" t="s">
        <v>57</v>
      </c>
      <c r="H30" s="7" t="s">
        <v>58</v>
      </c>
      <c r="I30" s="8" t="s">
        <v>59</v>
      </c>
      <c r="J30" s="7" t="s">
        <v>60</v>
      </c>
      <c r="K30" s="7" t="s">
        <v>61</v>
      </c>
      <c r="L30" s="7" t="s">
        <v>62</v>
      </c>
      <c r="M30" s="7" t="s">
        <v>63</v>
      </c>
      <c r="N30" s="7" t="s">
        <v>64</v>
      </c>
      <c r="O30" s="7" t="s">
        <v>39</v>
      </c>
      <c r="AL30" s="18"/>
      <c r="AM30" s="7" t="s">
        <v>3</v>
      </c>
      <c r="AN30" s="8" t="s">
        <v>4</v>
      </c>
      <c r="AO30" s="14" t="s">
        <v>5</v>
      </c>
      <c r="AP30" s="11" t="s">
        <v>6</v>
      </c>
      <c r="AQ30" s="7" t="s">
        <v>7</v>
      </c>
      <c r="AR30" s="7" t="s">
        <v>8</v>
      </c>
      <c r="AS30" s="7" t="s">
        <v>9</v>
      </c>
      <c r="AT30" s="7" t="s">
        <v>10</v>
      </c>
      <c r="AU30" s="7" t="s">
        <v>11</v>
      </c>
      <c r="AV30" s="7" t="s">
        <v>12</v>
      </c>
      <c r="AW30" s="7" t="s">
        <v>13</v>
      </c>
      <c r="AX30" s="8" t="s">
        <v>14</v>
      </c>
      <c r="AY30" s="14" t="s">
        <v>15</v>
      </c>
    </row>
    <row r="31" spans="2:51" ht="22.2" customHeight="1" thickTop="1" x14ac:dyDescent="0.45">
      <c r="B31" s="4" t="s">
        <v>68</v>
      </c>
      <c r="C31" s="78" t="s">
        <v>69</v>
      </c>
      <c r="D31" s="78" t="s">
        <v>69</v>
      </c>
      <c r="E31" s="78" t="s">
        <v>69</v>
      </c>
      <c r="F31" s="78" t="s">
        <v>69</v>
      </c>
      <c r="G31" s="78" t="s">
        <v>69</v>
      </c>
      <c r="H31" s="78" t="s">
        <v>69</v>
      </c>
      <c r="I31" s="78" t="s">
        <v>69</v>
      </c>
      <c r="J31" s="78" t="s">
        <v>69</v>
      </c>
      <c r="K31" s="78" t="s">
        <v>69</v>
      </c>
      <c r="L31" s="78" t="s">
        <v>69</v>
      </c>
      <c r="M31" s="78" t="s">
        <v>69</v>
      </c>
      <c r="N31" s="78" t="s">
        <v>69</v>
      </c>
      <c r="O31" s="78" t="s">
        <v>69</v>
      </c>
      <c r="AL31" s="4" t="s">
        <v>0</v>
      </c>
      <c r="AM31" s="5">
        <f t="shared" ref="AM31:AY31" si="17">AM12</f>
        <v>491000</v>
      </c>
      <c r="AN31" s="9">
        <f t="shared" si="17"/>
        <v>490000</v>
      </c>
      <c r="AO31" s="15">
        <f t="shared" si="17"/>
        <v>500000</v>
      </c>
      <c r="AP31" s="12">
        <f t="shared" si="17"/>
        <v>509000</v>
      </c>
      <c r="AQ31" s="5">
        <f t="shared" si="17"/>
        <v>519350</v>
      </c>
      <c r="AR31" s="5">
        <f t="shared" si="17"/>
        <v>531252.5</v>
      </c>
      <c r="AS31" s="5">
        <f t="shared" si="17"/>
        <v>544940.375</v>
      </c>
      <c r="AT31" s="5">
        <f t="shared" si="17"/>
        <v>560681.43125000002</v>
      </c>
      <c r="AU31" s="5">
        <f t="shared" si="17"/>
        <v>578783.64593750006</v>
      </c>
      <c r="AV31" s="5">
        <f t="shared" si="17"/>
        <v>599601.19282812509</v>
      </c>
      <c r="AW31" s="5">
        <f t="shared" si="17"/>
        <v>623541.37175234384</v>
      </c>
      <c r="AX31" s="9">
        <f t="shared" si="17"/>
        <v>651072.57751519536</v>
      </c>
      <c r="AY31" s="15">
        <f t="shared" si="17"/>
        <v>682733.46414247458</v>
      </c>
    </row>
    <row r="32" spans="2:51" ht="22.2" customHeight="1" x14ac:dyDescent="0.45">
      <c r="B32" s="73" t="s">
        <v>45</v>
      </c>
      <c r="C32" s="74">
        <v>54656</v>
      </c>
      <c r="D32" s="75">
        <v>53563</v>
      </c>
      <c r="E32" s="74">
        <v>52467</v>
      </c>
      <c r="F32" s="76">
        <v>51940.800000000003</v>
      </c>
      <c r="G32" s="76">
        <v>51414.6</v>
      </c>
      <c r="H32" s="76">
        <v>50888.4</v>
      </c>
      <c r="I32" s="77">
        <v>50362.2</v>
      </c>
      <c r="J32" s="74">
        <v>49836</v>
      </c>
      <c r="K32" s="74">
        <v>46576</v>
      </c>
      <c r="L32" s="74">
        <v>43707</v>
      </c>
      <c r="M32" s="74">
        <v>41002</v>
      </c>
      <c r="N32" s="74">
        <v>38746</v>
      </c>
      <c r="O32" s="74">
        <v>36753</v>
      </c>
      <c r="AL32" s="2"/>
      <c r="AM32" s="3"/>
      <c r="AN32" s="10"/>
      <c r="AO32" s="16"/>
      <c r="AP32" s="13"/>
      <c r="AQ32" s="3"/>
      <c r="AR32" s="3"/>
      <c r="AS32" s="3"/>
      <c r="AT32" s="3"/>
      <c r="AU32" s="3"/>
      <c r="AV32" s="3"/>
      <c r="AW32" s="3"/>
      <c r="AX32" s="10"/>
      <c r="AY32" s="16"/>
    </row>
    <row r="33" spans="2:51" ht="22.2" customHeight="1" x14ac:dyDescent="0.45">
      <c r="B33" s="69" t="s">
        <v>46</v>
      </c>
      <c r="C33" s="70">
        <v>54656</v>
      </c>
      <c r="D33" s="71">
        <v>53563</v>
      </c>
      <c r="E33" s="70">
        <v>52467</v>
      </c>
      <c r="F33" s="72">
        <v>51347.6</v>
      </c>
      <c r="G33" s="72">
        <v>50228.2</v>
      </c>
      <c r="H33" s="70">
        <v>49108.800000000003</v>
      </c>
      <c r="I33" s="71">
        <v>47989.4</v>
      </c>
      <c r="J33" s="70">
        <v>46870</v>
      </c>
      <c r="K33" s="70">
        <v>42054</v>
      </c>
      <c r="L33" s="70">
        <v>37630</v>
      </c>
      <c r="M33" s="70">
        <v>33412</v>
      </c>
      <c r="N33" s="70">
        <v>29468</v>
      </c>
      <c r="O33" s="70">
        <v>25877</v>
      </c>
      <c r="AL33" s="2"/>
      <c r="AM33" s="3"/>
      <c r="AN33" s="10"/>
      <c r="AO33" s="16"/>
      <c r="AP33" s="13"/>
      <c r="AQ33" s="3"/>
      <c r="AR33" s="3"/>
      <c r="AS33" s="3"/>
      <c r="AT33" s="3"/>
      <c r="AU33" s="3"/>
      <c r="AV33" s="3"/>
      <c r="AW33" s="3"/>
      <c r="AX33" s="10"/>
      <c r="AY33" s="16"/>
    </row>
    <row r="34" spans="2:51" ht="22.2" customHeight="1" x14ac:dyDescent="0.45">
      <c r="B34" s="60" t="s">
        <v>70</v>
      </c>
      <c r="C34" s="61">
        <v>451000</v>
      </c>
      <c r="D34" s="62">
        <v>430000</v>
      </c>
      <c r="E34" s="61">
        <v>445000</v>
      </c>
      <c r="F34" s="63">
        <v>455000</v>
      </c>
      <c r="G34" s="63">
        <v>451000</v>
      </c>
      <c r="H34" s="63">
        <v>447000</v>
      </c>
      <c r="I34" s="64">
        <v>443000</v>
      </c>
      <c r="J34" s="61">
        <v>439000</v>
      </c>
      <c r="K34" s="61">
        <v>433000</v>
      </c>
      <c r="L34" s="61">
        <v>427000</v>
      </c>
      <c r="M34" s="61">
        <v>422000</v>
      </c>
      <c r="N34" s="61">
        <v>417000</v>
      </c>
      <c r="O34" s="61">
        <v>413000</v>
      </c>
      <c r="AL34" s="2"/>
      <c r="AM34" s="3"/>
      <c r="AN34" s="10"/>
      <c r="AO34" s="16"/>
      <c r="AP34" s="13"/>
      <c r="AQ34" s="3"/>
      <c r="AR34" s="3"/>
      <c r="AS34" s="3"/>
      <c r="AT34" s="3"/>
      <c r="AU34" s="3"/>
      <c r="AV34" s="3"/>
      <c r="AW34" s="3"/>
      <c r="AX34" s="10"/>
      <c r="AY34" s="16"/>
    </row>
    <row r="35" spans="2:51" ht="22.2" customHeight="1" x14ac:dyDescent="0.45">
      <c r="B35" s="54" t="s">
        <v>66</v>
      </c>
      <c r="C35" s="55">
        <v>504000</v>
      </c>
      <c r="D35" s="56">
        <v>498000</v>
      </c>
      <c r="E35" s="55">
        <v>254000</v>
      </c>
      <c r="F35" s="57">
        <v>269000</v>
      </c>
      <c r="G35" s="55">
        <v>400000</v>
      </c>
      <c r="H35" s="55">
        <v>500000</v>
      </c>
      <c r="I35" s="58">
        <v>514000</v>
      </c>
      <c r="J35" s="55">
        <v>529000</v>
      </c>
      <c r="K35" s="55">
        <v>600000</v>
      </c>
      <c r="L35" s="59">
        <v>600000</v>
      </c>
      <c r="M35" s="59">
        <v>600000</v>
      </c>
      <c r="N35" s="59">
        <v>600000</v>
      </c>
      <c r="O35" s="59">
        <v>600000</v>
      </c>
      <c r="AL35" s="4" t="s">
        <v>0</v>
      </c>
      <c r="AM35" s="3">
        <f t="shared" ref="AM35:AY35" si="18">AM12</f>
        <v>491000</v>
      </c>
      <c r="AN35" s="10">
        <f t="shared" si="18"/>
        <v>490000</v>
      </c>
      <c r="AO35" s="16">
        <f t="shared" si="18"/>
        <v>500000</v>
      </c>
      <c r="AP35" s="13">
        <f t="shared" si="18"/>
        <v>509000</v>
      </c>
      <c r="AQ35" s="3">
        <f t="shared" si="18"/>
        <v>519350</v>
      </c>
      <c r="AR35" s="3">
        <f t="shared" si="18"/>
        <v>531252.5</v>
      </c>
      <c r="AS35" s="3">
        <f t="shared" si="18"/>
        <v>544940.375</v>
      </c>
      <c r="AT35" s="3">
        <f t="shared" si="18"/>
        <v>560681.43125000002</v>
      </c>
      <c r="AU35" s="3">
        <f t="shared" si="18"/>
        <v>578783.64593750006</v>
      </c>
      <c r="AV35" s="3">
        <f t="shared" si="18"/>
        <v>599601.19282812509</v>
      </c>
      <c r="AW35" s="3">
        <f t="shared" si="18"/>
        <v>623541.37175234384</v>
      </c>
      <c r="AX35" s="10">
        <f t="shared" si="18"/>
        <v>651072.57751519536</v>
      </c>
      <c r="AY35" s="16">
        <f t="shared" si="18"/>
        <v>682733.46414247458</v>
      </c>
    </row>
    <row r="36" spans="2:51" ht="22.2" customHeight="1" x14ac:dyDescent="0.45">
      <c r="B36" s="65" t="s">
        <v>48</v>
      </c>
      <c r="C36" s="66">
        <v>290656</v>
      </c>
      <c r="D36" s="67">
        <v>290233</v>
      </c>
      <c r="E36" s="66">
        <v>154353</v>
      </c>
      <c r="F36" s="68">
        <v>159000</v>
      </c>
      <c r="G36" s="66">
        <v>240000</v>
      </c>
      <c r="H36" s="66">
        <v>300000</v>
      </c>
      <c r="I36" s="67">
        <v>308400</v>
      </c>
      <c r="J36" s="66">
        <v>317400</v>
      </c>
      <c r="K36" s="66">
        <v>360000</v>
      </c>
      <c r="L36" s="66">
        <v>360000</v>
      </c>
      <c r="M36" s="66">
        <v>360000</v>
      </c>
      <c r="N36" s="66">
        <v>360000</v>
      </c>
      <c r="O36" s="66">
        <v>360000</v>
      </c>
      <c r="AL36" s="2" t="s">
        <v>16</v>
      </c>
      <c r="AM36" s="3">
        <f t="shared" ref="AM36:AY36" si="19">AM13</f>
        <v>289500</v>
      </c>
      <c r="AN36" s="10">
        <f t="shared" si="19"/>
        <v>274500</v>
      </c>
      <c r="AO36" s="16">
        <f t="shared" si="19"/>
        <v>328700</v>
      </c>
      <c r="AP36" s="13">
        <f t="shared" si="19"/>
        <v>459000</v>
      </c>
      <c r="AQ36" s="3">
        <f t="shared" si="19"/>
        <v>493350</v>
      </c>
      <c r="AR36" s="3">
        <f t="shared" si="19"/>
        <v>527677.5</v>
      </c>
      <c r="AS36" s="3">
        <f t="shared" si="19"/>
        <v>515576.62499999994</v>
      </c>
      <c r="AT36" s="3">
        <f t="shared" si="19"/>
        <v>550936.96874999988</v>
      </c>
      <c r="AU36" s="3">
        <f t="shared" si="19"/>
        <v>615475.29937499994</v>
      </c>
      <c r="AV36" s="3">
        <f t="shared" si="19"/>
        <v>700857.41198437486</v>
      </c>
      <c r="AW36" s="3">
        <f t="shared" si="19"/>
        <v>801995.99396132783</v>
      </c>
      <c r="AX36" s="10">
        <f t="shared" si="19"/>
        <v>919542.27247924171</v>
      </c>
      <c r="AY36" s="16">
        <f t="shared" si="19"/>
        <v>1213788.6874444433</v>
      </c>
    </row>
    <row r="37" spans="2:51" ht="22.2" customHeight="1" x14ac:dyDescent="0.45">
      <c r="B37" s="2" t="s">
        <v>52</v>
      </c>
      <c r="C37" s="39">
        <v>26000</v>
      </c>
      <c r="D37" s="40">
        <v>14584</v>
      </c>
      <c r="E37" s="39">
        <v>1128</v>
      </c>
      <c r="F37" s="41">
        <v>300</v>
      </c>
      <c r="G37" s="3">
        <v>10000</v>
      </c>
      <c r="H37" s="3">
        <v>15000</v>
      </c>
      <c r="I37" s="10">
        <v>20000</v>
      </c>
      <c r="J37" s="3">
        <v>25000</v>
      </c>
      <c r="K37" s="39">
        <v>50000</v>
      </c>
      <c r="L37" s="3">
        <v>50000</v>
      </c>
      <c r="M37" s="3">
        <v>50000</v>
      </c>
      <c r="N37" s="3">
        <v>50000</v>
      </c>
      <c r="O37" s="3">
        <v>50000</v>
      </c>
      <c r="AL37" s="2" t="s">
        <v>53</v>
      </c>
      <c r="AM37" s="3">
        <f t="shared" ref="AM37:AY37" si="20">AM14</f>
        <v>26000</v>
      </c>
      <c r="AN37" s="10">
        <f t="shared" si="20"/>
        <v>28000</v>
      </c>
      <c r="AO37" s="16">
        <f t="shared" si="20"/>
        <v>40000</v>
      </c>
      <c r="AP37" s="13">
        <f t="shared" si="20"/>
        <v>51700</v>
      </c>
      <c r="AQ37" s="3">
        <f t="shared" si="20"/>
        <v>66190</v>
      </c>
      <c r="AR37" s="3">
        <f t="shared" si="20"/>
        <v>84043.75</v>
      </c>
      <c r="AS37" s="3">
        <f t="shared" si="20"/>
        <v>105944.35</v>
      </c>
      <c r="AT37" s="3">
        <f t="shared" si="20"/>
        <v>132704.14562500003</v>
      </c>
      <c r="AU37" s="3">
        <f t="shared" si="20"/>
        <v>165288.13206250008</v>
      </c>
      <c r="AV37" s="3">
        <f t="shared" si="20"/>
        <v>204841.47115468764</v>
      </c>
      <c r="AW37" s="3">
        <f t="shared" si="20"/>
        <v>252721.82900312514</v>
      </c>
      <c r="AX37" s="10">
        <f t="shared" si="20"/>
        <v>321549.84341025393</v>
      </c>
      <c r="AY37" s="16">
        <f t="shared" si="20"/>
        <v>416532.5032920916</v>
      </c>
    </row>
    <row r="38" spans="2:51" ht="22.2" customHeight="1" x14ac:dyDescent="0.45">
      <c r="B38" s="50" t="s">
        <v>51</v>
      </c>
      <c r="C38" s="51">
        <v>1480352</v>
      </c>
      <c r="D38" s="52">
        <v>1466681</v>
      </c>
      <c r="E38" s="51">
        <v>760342</v>
      </c>
      <c r="F38" s="53">
        <v>768000</v>
      </c>
      <c r="G38" s="51">
        <v>1000000</v>
      </c>
      <c r="H38" s="51">
        <v>1250000</v>
      </c>
      <c r="I38" s="52">
        <v>1285000</v>
      </c>
      <c r="J38" s="51">
        <v>1322500</v>
      </c>
      <c r="K38" s="51">
        <v>1500000</v>
      </c>
      <c r="L38" s="51">
        <v>1500000</v>
      </c>
      <c r="M38" s="51">
        <v>1500000</v>
      </c>
      <c r="N38" s="51">
        <v>1500000</v>
      </c>
      <c r="O38" s="51">
        <v>1500000</v>
      </c>
      <c r="AL38" s="2" t="s">
        <v>1</v>
      </c>
      <c r="AM38" s="3">
        <f t="shared" ref="AM38:AY38" si="21">AM15</f>
        <v>1480352</v>
      </c>
      <c r="AN38" s="10">
        <f t="shared" si="21"/>
        <v>1470000</v>
      </c>
      <c r="AO38" s="16">
        <f t="shared" si="21"/>
        <v>1480000</v>
      </c>
      <c r="AP38" s="13">
        <f t="shared" si="21"/>
        <v>1489000</v>
      </c>
      <c r="AQ38" s="3">
        <f t="shared" si="21"/>
        <v>1499350</v>
      </c>
      <c r="AR38" s="3">
        <f t="shared" si="21"/>
        <v>1511252.5</v>
      </c>
      <c r="AS38" s="3">
        <f t="shared" si="21"/>
        <v>1524940.375</v>
      </c>
      <c r="AT38" s="3">
        <f t="shared" si="21"/>
        <v>1540681.4312499999</v>
      </c>
      <c r="AU38" s="3">
        <f t="shared" si="21"/>
        <v>1558783.6459374998</v>
      </c>
      <c r="AV38" s="3">
        <f t="shared" si="21"/>
        <v>1579601.1928281249</v>
      </c>
      <c r="AW38" s="3">
        <f t="shared" si="21"/>
        <v>1603541.3717523436</v>
      </c>
      <c r="AX38" s="10">
        <f t="shared" si="21"/>
        <v>1631072.5775151951</v>
      </c>
      <c r="AY38" s="16">
        <f t="shared" si="21"/>
        <v>1662733.4641424743</v>
      </c>
    </row>
    <row r="39" spans="2:51" ht="22.2" customHeight="1" x14ac:dyDescent="0.45">
      <c r="B39" s="42" t="s">
        <v>49</v>
      </c>
      <c r="C39" s="43">
        <v>15496</v>
      </c>
      <c r="D39" s="44">
        <v>19033</v>
      </c>
      <c r="E39" s="43">
        <v>36106</v>
      </c>
      <c r="F39" s="45">
        <v>48000</v>
      </c>
      <c r="G39" s="43">
        <v>60000</v>
      </c>
      <c r="H39" s="43">
        <v>65000</v>
      </c>
      <c r="I39" s="44">
        <v>70000</v>
      </c>
      <c r="J39" s="43">
        <v>75000</v>
      </c>
      <c r="K39" s="43">
        <v>100000</v>
      </c>
      <c r="L39" s="43">
        <v>100000</v>
      </c>
      <c r="M39" s="43">
        <v>100000</v>
      </c>
      <c r="N39" s="43">
        <v>100000</v>
      </c>
      <c r="O39" s="43">
        <v>100000</v>
      </c>
      <c r="AL39" s="2" t="s">
        <v>2</v>
      </c>
      <c r="AM39" s="3">
        <f t="shared" ref="AM39:AY39" si="22">AM16</f>
        <v>15000</v>
      </c>
      <c r="AN39" s="10">
        <f t="shared" si="22"/>
        <v>19000</v>
      </c>
      <c r="AO39" s="16">
        <f t="shared" si="22"/>
        <v>30000</v>
      </c>
      <c r="AP39" s="13">
        <f t="shared" si="22"/>
        <v>34500</v>
      </c>
      <c r="AQ39" s="3">
        <f t="shared" si="22"/>
        <v>39675</v>
      </c>
      <c r="AR39" s="3">
        <f t="shared" si="22"/>
        <v>45626.25</v>
      </c>
      <c r="AS39" s="3">
        <f t="shared" si="22"/>
        <v>52470.187499999993</v>
      </c>
      <c r="AT39" s="3">
        <f t="shared" si="22"/>
        <v>60340.71562499999</v>
      </c>
      <c r="AU39" s="3">
        <f t="shared" si="22"/>
        <v>69391.822968749984</v>
      </c>
      <c r="AV39" s="3">
        <f t="shared" si="22"/>
        <v>79800.596414062471</v>
      </c>
      <c r="AW39" s="3">
        <f t="shared" si="22"/>
        <v>91770.685876171832</v>
      </c>
      <c r="AX39" s="10">
        <f t="shared" si="22"/>
        <v>105536.28875759761</v>
      </c>
      <c r="AY39" s="16">
        <f t="shared" si="22"/>
        <v>121366.73207123723</v>
      </c>
    </row>
    <row r="40" spans="2:51" ht="22.2" customHeight="1" thickBot="1" x14ac:dyDescent="0.5">
      <c r="B40" s="46" t="s">
        <v>50</v>
      </c>
      <c r="C40" s="47">
        <v>154960</v>
      </c>
      <c r="D40" s="48">
        <v>190330</v>
      </c>
      <c r="E40" s="47">
        <v>361060</v>
      </c>
      <c r="F40" s="49">
        <v>480000</v>
      </c>
      <c r="G40" s="47">
        <v>600000</v>
      </c>
      <c r="H40" s="47">
        <v>650000</v>
      </c>
      <c r="I40" s="48">
        <v>700000</v>
      </c>
      <c r="J40" s="47">
        <v>750000</v>
      </c>
      <c r="K40" s="47">
        <v>1000000</v>
      </c>
      <c r="L40" s="47">
        <v>1000000</v>
      </c>
      <c r="M40" s="47">
        <v>1000000</v>
      </c>
      <c r="N40" s="47">
        <v>1000000</v>
      </c>
      <c r="O40" s="47">
        <v>1000000</v>
      </c>
      <c r="AL40" s="2" t="s">
        <v>17</v>
      </c>
      <c r="AM40" s="3">
        <f t="shared" ref="AM40:AY40" si="23">AM17</f>
        <v>150000</v>
      </c>
      <c r="AN40" s="10">
        <f t="shared" si="23"/>
        <v>150000</v>
      </c>
      <c r="AO40" s="17">
        <f t="shared" si="23"/>
        <v>190000</v>
      </c>
      <c r="AP40" s="13">
        <f t="shared" si="23"/>
        <v>300000</v>
      </c>
      <c r="AQ40" s="3">
        <f t="shared" si="23"/>
        <v>345000</v>
      </c>
      <c r="AR40" s="3">
        <f t="shared" si="23"/>
        <v>396750</v>
      </c>
      <c r="AS40" s="3">
        <f t="shared" si="23"/>
        <v>456262.5</v>
      </c>
      <c r="AT40" s="3">
        <f t="shared" si="23"/>
        <v>524701.87499999988</v>
      </c>
      <c r="AU40" s="3">
        <f t="shared" si="23"/>
        <v>603407.15624999988</v>
      </c>
      <c r="AV40" s="3">
        <f t="shared" si="23"/>
        <v>693918.22968749981</v>
      </c>
      <c r="AW40" s="3">
        <f t="shared" si="23"/>
        <v>798005.96414062474</v>
      </c>
      <c r="AX40" s="10">
        <f t="shared" si="23"/>
        <v>917706.85876171826</v>
      </c>
      <c r="AY40" s="17">
        <f t="shared" si="23"/>
        <v>1213667.3207123722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室岡啓史</dc:creator>
  <cp:lastModifiedBy>室岡啓史</cp:lastModifiedBy>
  <dcterms:created xsi:type="dcterms:W3CDTF">2019-12-04T06:31:51Z</dcterms:created>
  <dcterms:modified xsi:type="dcterms:W3CDTF">2021-12-01T10:48:01Z</dcterms:modified>
</cp:coreProperties>
</file>